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eibr011.sharepoint.com/sites/HubSustainabilityESG/Trasnparency  Reporting  Indicators/GRI ANEEL SASB/2025/"/>
    </mc:Choice>
  </mc:AlternateContent>
  <xr:revisionPtr revIDLastSave="0" documentId="8_{08D193EC-7CC6-4836-BBCE-EFF359F336B1}" xr6:coauthVersionLast="47" xr6:coauthVersionMax="47" xr10:uidLastSave="{00000000-0000-0000-0000-000000000000}"/>
  <bookViews>
    <workbookView xWindow="-21720" yWindow="2610" windowWidth="21840" windowHeight="13020" tabRatio="786" firstSheet="1" activeTab="1" xr2:uid="{9BC727DC-24C6-4EC7-B821-9348BC716413}"/>
  </bookViews>
  <sheets>
    <sheet name="Notas Explicativas" sheetId="6" state="hidden" r:id="rId1"/>
    <sheet name="Rio Paraná" sheetId="1" r:id="rId2"/>
    <sheet name="Rio Paranapanema" sheetId="2" r:id="rId3"/>
    <sheet name="Rio Verde" sheetId="3" r:id="rId4"/>
    <sheet name="Rio Canoas" sheetId="4" r:id="rId5"/>
    <sheet name="Arinos" sheetId="5" r:id="rId6"/>
  </sheets>
  <definedNames>
    <definedName name="_xlnm.Print_Area" localSheetId="5">Arinos!$A$1:$T$215</definedName>
    <definedName name="_xlnm.Print_Area" localSheetId="4">'Rio Canoas'!$A$1:$V$216</definedName>
    <definedName name="_xlnm.Print_Area" localSheetId="1">'Rio Paraná'!$A$1:$D$220</definedName>
    <definedName name="_xlnm.Print_Area" localSheetId="2">'Rio Paranapanema'!$A$1:$H$233</definedName>
    <definedName name="_xlnm.Print_Area" localSheetId="3">'Rio Verde'!$A$1:$D$215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C39" i="4"/>
  <c r="D39" i="3"/>
  <c r="C39" i="3"/>
  <c r="D51" i="2"/>
  <c r="C51" i="2"/>
  <c r="B185" i="3"/>
  <c r="B198" i="2"/>
  <c r="D255" i="2"/>
  <c r="D258" i="2"/>
  <c r="D263" i="2"/>
  <c r="B264" i="2"/>
  <c r="C252" i="2" s="1"/>
  <c r="M246" i="2"/>
  <c r="I246" i="2"/>
  <c r="E246" i="2"/>
  <c r="M245" i="2"/>
  <c r="I245" i="2"/>
  <c r="E245" i="2"/>
  <c r="M244" i="2"/>
  <c r="I244" i="2"/>
  <c r="E244" i="2"/>
  <c r="M243" i="2"/>
  <c r="I243" i="2"/>
  <c r="E243" i="2"/>
  <c r="M242" i="2"/>
  <c r="I242" i="2"/>
  <c r="E242" i="2"/>
  <c r="L241" i="2"/>
  <c r="K241" i="2"/>
  <c r="J241" i="2"/>
  <c r="H241" i="2"/>
  <c r="G241" i="2"/>
  <c r="F241" i="2"/>
  <c r="D241" i="2"/>
  <c r="C241" i="2"/>
  <c r="B241" i="2"/>
  <c r="M240" i="2"/>
  <c r="I240" i="2"/>
  <c r="E240" i="2"/>
  <c r="M239" i="2"/>
  <c r="I239" i="2"/>
  <c r="E239" i="2"/>
  <c r="M238" i="2"/>
  <c r="I238" i="2"/>
  <c r="E238" i="2"/>
  <c r="M237" i="2"/>
  <c r="I237" i="2"/>
  <c r="E237" i="2"/>
  <c r="L236" i="2"/>
  <c r="K236" i="2"/>
  <c r="J236" i="2"/>
  <c r="H236" i="2"/>
  <c r="G236" i="2"/>
  <c r="F236" i="2"/>
  <c r="D236" i="2"/>
  <c r="C236" i="2"/>
  <c r="B236" i="2"/>
  <c r="M235" i="2"/>
  <c r="I235" i="2"/>
  <c r="E235" i="2"/>
  <c r="M234" i="2"/>
  <c r="I234" i="2"/>
  <c r="E234" i="2"/>
  <c r="B241" i="1"/>
  <c r="D241" i="1"/>
  <c r="B244" i="1"/>
  <c r="D244" i="1"/>
  <c r="B245" i="1"/>
  <c r="D245" i="1"/>
  <c r="B247" i="1"/>
  <c r="D247" i="1"/>
  <c r="B248" i="1"/>
  <c r="D248" i="1"/>
  <c r="B252" i="1"/>
  <c r="D252" i="1"/>
  <c r="M235" i="1"/>
  <c r="I235" i="1"/>
  <c r="E235" i="1"/>
  <c r="M234" i="1"/>
  <c r="I234" i="1"/>
  <c r="E234" i="1"/>
  <c r="M233" i="1"/>
  <c r="I233" i="1"/>
  <c r="E233" i="1"/>
  <c r="M232" i="1"/>
  <c r="I232" i="1"/>
  <c r="E232" i="1"/>
  <c r="M231" i="1"/>
  <c r="I231" i="1"/>
  <c r="E231" i="1"/>
  <c r="L230" i="1"/>
  <c r="K230" i="1"/>
  <c r="J230" i="1"/>
  <c r="H230" i="1"/>
  <c r="G230" i="1"/>
  <c r="F230" i="1"/>
  <c r="D230" i="1"/>
  <c r="C230" i="1"/>
  <c r="B230" i="1"/>
  <c r="M229" i="1"/>
  <c r="I229" i="1"/>
  <c r="E229" i="1"/>
  <c r="M228" i="1"/>
  <c r="I228" i="1"/>
  <c r="E228" i="1"/>
  <c r="M227" i="1"/>
  <c r="I227" i="1"/>
  <c r="E227" i="1"/>
  <c r="M226" i="1"/>
  <c r="I226" i="1"/>
  <c r="E226" i="1"/>
  <c r="L225" i="1"/>
  <c r="K225" i="1"/>
  <c r="J225" i="1"/>
  <c r="H225" i="1"/>
  <c r="G225" i="1"/>
  <c r="F225" i="1"/>
  <c r="D225" i="1"/>
  <c r="C225" i="1"/>
  <c r="B225" i="1"/>
  <c r="M224" i="1"/>
  <c r="I224" i="1"/>
  <c r="E224" i="1"/>
  <c r="M223" i="1"/>
  <c r="I223" i="1"/>
  <c r="E223" i="1"/>
  <c r="I236" i="2" l="1"/>
  <c r="M241" i="2"/>
  <c r="E236" i="2"/>
  <c r="E225" i="1"/>
  <c r="I230" i="1"/>
  <c r="I236" i="1" s="1"/>
  <c r="I241" i="2"/>
  <c r="I225" i="1"/>
  <c r="C263" i="2"/>
  <c r="C258" i="2"/>
  <c r="C262" i="2"/>
  <c r="C261" i="2"/>
  <c r="D264" i="2"/>
  <c r="E256" i="2" s="1"/>
  <c r="C257" i="2"/>
  <c r="E241" i="2"/>
  <c r="E247" i="2" s="1"/>
  <c r="M236" i="2"/>
  <c r="M247" i="2" s="1"/>
  <c r="C254" i="2"/>
  <c r="M225" i="1"/>
  <c r="B253" i="1"/>
  <c r="C242" i="1" s="1"/>
  <c r="M230" i="1"/>
  <c r="E230" i="1"/>
  <c r="D253" i="1"/>
  <c r="E252" i="1" s="1"/>
  <c r="I247" i="2"/>
  <c r="C256" i="2"/>
  <c r="C255" i="2"/>
  <c r="C259" i="2"/>
  <c r="C253" i="2"/>
  <c r="C260" i="2"/>
  <c r="C247" i="1"/>
  <c r="E259" i="2" l="1"/>
  <c r="E236" i="1"/>
  <c r="C243" i="1"/>
  <c r="C250" i="1"/>
  <c r="C246" i="1"/>
  <c r="C252" i="1"/>
  <c r="C244" i="1"/>
  <c r="M236" i="1"/>
  <c r="E252" i="2"/>
  <c r="E257" i="2"/>
  <c r="E262" i="2"/>
  <c r="C245" i="1"/>
  <c r="C249" i="1"/>
  <c r="C241" i="1"/>
  <c r="C251" i="1"/>
  <c r="E260" i="2"/>
  <c r="E253" i="2"/>
  <c r="E255" i="2"/>
  <c r="E263" i="2"/>
  <c r="E258" i="2"/>
  <c r="E254" i="2"/>
  <c r="E261" i="2"/>
  <c r="E242" i="1"/>
  <c r="E249" i="1"/>
  <c r="C248" i="1"/>
  <c r="E251" i="1"/>
  <c r="E246" i="1"/>
  <c r="E247" i="1"/>
  <c r="E241" i="1"/>
  <c r="E250" i="1"/>
  <c r="E244" i="1"/>
  <c r="E245" i="1"/>
  <c r="E243" i="1"/>
  <c r="E248" i="1"/>
  <c r="C264" i="2"/>
  <c r="C253" i="1" l="1"/>
  <c r="E264" i="2"/>
  <c r="C186" i="1"/>
  <c r="E232" i="5" l="1"/>
  <c r="E221" i="5"/>
  <c r="E220" i="5"/>
  <c r="D227" i="5"/>
  <c r="C227" i="5"/>
  <c r="B227" i="5"/>
  <c r="D222" i="5"/>
  <c r="C222" i="5"/>
  <c r="B222" i="5"/>
  <c r="E223" i="5"/>
  <c r="E224" i="5"/>
  <c r="E225" i="5"/>
  <c r="E226" i="5"/>
  <c r="E228" i="5"/>
  <c r="E229" i="5"/>
  <c r="E230" i="5"/>
  <c r="E231" i="5"/>
  <c r="B148" i="5"/>
  <c r="B98" i="5"/>
  <c r="B97" i="5"/>
  <c r="C181" i="5"/>
  <c r="B176" i="5"/>
  <c r="B251" i="4"/>
  <c r="E222" i="4"/>
  <c r="E221" i="4"/>
  <c r="E233" i="4"/>
  <c r="E232" i="4"/>
  <c r="E231" i="4"/>
  <c r="E230" i="4"/>
  <c r="E229" i="4"/>
  <c r="D228" i="4"/>
  <c r="C228" i="4"/>
  <c r="B228" i="4"/>
  <c r="E227" i="4"/>
  <c r="E226" i="4"/>
  <c r="E225" i="4"/>
  <c r="E224" i="4"/>
  <c r="D223" i="4"/>
  <c r="C223" i="4"/>
  <c r="B223" i="4"/>
  <c r="B206" i="4"/>
  <c r="B192" i="4"/>
  <c r="B165" i="4"/>
  <c r="B155" i="4"/>
  <c r="B153" i="4"/>
  <c r="B148" i="4"/>
  <c r="B147" i="4"/>
  <c r="B146" i="4"/>
  <c r="B145" i="4"/>
  <c r="D38" i="3"/>
  <c r="C38" i="3"/>
  <c r="B38" i="3"/>
  <c r="B250" i="3"/>
  <c r="C250" i="3"/>
  <c r="D250" i="3"/>
  <c r="E221" i="3"/>
  <c r="E223" i="3"/>
  <c r="E224" i="3"/>
  <c r="E225" i="3"/>
  <c r="E226" i="3"/>
  <c r="E228" i="3"/>
  <c r="E229" i="3"/>
  <c r="E230" i="3"/>
  <c r="E231" i="3"/>
  <c r="E232" i="3"/>
  <c r="E220" i="3"/>
  <c r="I220" i="3"/>
  <c r="B222" i="3"/>
  <c r="C222" i="3"/>
  <c r="D222" i="3"/>
  <c r="B227" i="3"/>
  <c r="C227" i="3"/>
  <c r="D227" i="3"/>
  <c r="B191" i="3"/>
  <c r="C191" i="3"/>
  <c r="B52" i="3"/>
  <c r="C52" i="3"/>
  <c r="C204" i="2"/>
  <c r="B204" i="2"/>
  <c r="B194" i="2"/>
  <c r="B189" i="2"/>
  <c r="C194" i="2"/>
  <c r="C189" i="2"/>
  <c r="B90" i="2"/>
  <c r="C90" i="2"/>
  <c r="D90" i="2"/>
  <c r="D183" i="1"/>
  <c r="D178" i="1"/>
  <c r="C183" i="1"/>
  <c r="C178" i="1"/>
  <c r="B178" i="1"/>
  <c r="B183" i="1"/>
  <c r="B167" i="1"/>
  <c r="C167" i="1"/>
  <c r="D167" i="1"/>
  <c r="B157" i="1"/>
  <c r="B155" i="1"/>
  <c r="B149" i="1"/>
  <c r="C67" i="1"/>
  <c r="B147" i="1"/>
  <c r="B148" i="1"/>
  <c r="D79" i="1"/>
  <c r="C79" i="1"/>
  <c r="B79" i="1"/>
  <c r="B150" i="1"/>
  <c r="D147" i="1"/>
  <c r="D146" i="1"/>
  <c r="D157" i="1"/>
  <c r="C157" i="1"/>
  <c r="C155" i="1"/>
  <c r="D155" i="1"/>
  <c r="C207" i="1"/>
  <c r="C166" i="2"/>
  <c r="C66" i="1"/>
  <c r="C65" i="1"/>
  <c r="C64" i="1"/>
  <c r="C218" i="2"/>
  <c r="C134" i="1"/>
  <c r="C137" i="1"/>
  <c r="C155" i="3"/>
  <c r="C135" i="3"/>
  <c r="C184" i="4"/>
  <c r="C181" i="4"/>
  <c r="C78" i="4"/>
  <c r="C165" i="3"/>
  <c r="D165" i="3"/>
  <c r="C184" i="3"/>
  <c r="C185" i="3" s="1"/>
  <c r="D191" i="3"/>
  <c r="C153" i="3"/>
  <c r="C78" i="3"/>
  <c r="D78" i="3"/>
  <c r="D52" i="3"/>
  <c r="E227" i="5" l="1"/>
  <c r="E222" i="5"/>
  <c r="D177" i="1"/>
  <c r="D187" i="1" s="1"/>
  <c r="C177" i="1"/>
  <c r="C187" i="1" s="1"/>
  <c r="B175" i="5"/>
  <c r="E228" i="4"/>
  <c r="E223" i="4"/>
  <c r="E222" i="3"/>
  <c r="E227" i="3"/>
  <c r="C188" i="2"/>
  <c r="B188" i="2"/>
  <c r="B177" i="1"/>
  <c r="B187" i="1" s="1"/>
  <c r="D78" i="4"/>
  <c r="E233" i="3" l="1"/>
  <c r="E233" i="5"/>
  <c r="E234" i="4"/>
  <c r="I225" i="3"/>
  <c r="M225" i="3"/>
  <c r="I226" i="3"/>
  <c r="M226" i="3"/>
  <c r="F227" i="3"/>
  <c r="G227" i="3"/>
  <c r="H227" i="3"/>
  <c r="J227" i="3"/>
  <c r="K227" i="3"/>
  <c r="L227" i="3"/>
  <c r="I228" i="3"/>
  <c r="M228" i="3"/>
  <c r="M227" i="3" l="1"/>
  <c r="I227" i="3"/>
  <c r="B176" i="4"/>
  <c r="B175" i="4" s="1"/>
  <c r="C185" i="4" s="1"/>
  <c r="C197" i="2"/>
  <c r="C198" i="2" s="1"/>
  <c r="C155" i="4"/>
  <c r="C153" i="4"/>
  <c r="C135" i="4"/>
  <c r="C168" i="2"/>
  <c r="C192" i="4" l="1"/>
  <c r="C165" i="4"/>
  <c r="C178" i="2" l="1"/>
  <c r="C193" i="1"/>
  <c r="D192" i="4" l="1"/>
  <c r="D165" i="4"/>
  <c r="F251" i="4"/>
  <c r="D251" i="4"/>
  <c r="M233" i="4"/>
  <c r="I233" i="4"/>
  <c r="M232" i="4"/>
  <c r="I232" i="4"/>
  <c r="M231" i="4"/>
  <c r="I231" i="4"/>
  <c r="M230" i="4"/>
  <c r="I230" i="4"/>
  <c r="M229" i="4"/>
  <c r="I229" i="4"/>
  <c r="L228" i="4"/>
  <c r="K228" i="4"/>
  <c r="J228" i="4"/>
  <c r="H228" i="4"/>
  <c r="G228" i="4"/>
  <c r="F228" i="4"/>
  <c r="M227" i="4"/>
  <c r="I227" i="4"/>
  <c r="M226" i="4"/>
  <c r="I226" i="4"/>
  <c r="M225" i="4"/>
  <c r="I225" i="4"/>
  <c r="M224" i="4"/>
  <c r="I224" i="4"/>
  <c r="L223" i="4"/>
  <c r="K223" i="4"/>
  <c r="J223" i="4"/>
  <c r="H223" i="4"/>
  <c r="G223" i="4"/>
  <c r="F223" i="4"/>
  <c r="M222" i="4"/>
  <c r="I222" i="4"/>
  <c r="M221" i="4"/>
  <c r="I221" i="4"/>
  <c r="F250" i="3"/>
  <c r="M232" i="3"/>
  <c r="I232" i="3"/>
  <c r="M231" i="3"/>
  <c r="I231" i="3"/>
  <c r="M230" i="3"/>
  <c r="I230" i="3"/>
  <c r="M229" i="3"/>
  <c r="I229" i="3"/>
  <c r="M224" i="3"/>
  <c r="I224" i="3"/>
  <c r="M223" i="3"/>
  <c r="I223" i="3"/>
  <c r="L222" i="3"/>
  <c r="K222" i="3"/>
  <c r="J222" i="3"/>
  <c r="H222" i="3"/>
  <c r="G222" i="3"/>
  <c r="F222" i="3"/>
  <c r="M221" i="3"/>
  <c r="I221" i="3"/>
  <c r="M220" i="3"/>
  <c r="D178" i="2"/>
  <c r="D204" i="2"/>
  <c r="D149" i="1"/>
  <c r="D148" i="1"/>
  <c r="E246" i="4" l="1"/>
  <c r="C250" i="4"/>
  <c r="C242" i="4"/>
  <c r="C249" i="4"/>
  <c r="C241" i="4"/>
  <c r="C243" i="4"/>
  <c r="C248" i="4"/>
  <c r="C240" i="4"/>
  <c r="C246" i="4"/>
  <c r="C245" i="4"/>
  <c r="C244" i="4"/>
  <c r="C247" i="4"/>
  <c r="C239" i="4"/>
  <c r="I222" i="3"/>
  <c r="I233" i="3" s="1"/>
  <c r="E241" i="3"/>
  <c r="E244" i="3"/>
  <c r="E245" i="3"/>
  <c r="E246" i="3"/>
  <c r="E243" i="3"/>
  <c r="G240" i="3"/>
  <c r="G243" i="3"/>
  <c r="G244" i="3"/>
  <c r="G245" i="3"/>
  <c r="G246" i="3"/>
  <c r="E245" i="4"/>
  <c r="E248" i="3"/>
  <c r="E240" i="3"/>
  <c r="E239" i="4"/>
  <c r="E244" i="4"/>
  <c r="E247" i="3"/>
  <c r="E239" i="3"/>
  <c r="E250" i="4"/>
  <c r="E242" i="4"/>
  <c r="M222" i="3"/>
  <c r="M233" i="3" s="1"/>
  <c r="E249" i="4"/>
  <c r="E241" i="4"/>
  <c r="E248" i="4"/>
  <c r="E240" i="4"/>
  <c r="E243" i="4"/>
  <c r="E247" i="4"/>
  <c r="E238" i="3"/>
  <c r="E242" i="3"/>
  <c r="E249" i="3"/>
  <c r="M228" i="4"/>
  <c r="I223" i="4"/>
  <c r="I228" i="4"/>
  <c r="G248" i="4"/>
  <c r="G247" i="4"/>
  <c r="G244" i="4"/>
  <c r="G239" i="4"/>
  <c r="G240" i="4"/>
  <c r="G242" i="4"/>
  <c r="G243" i="4"/>
  <c r="G246" i="4"/>
  <c r="G245" i="4"/>
  <c r="G249" i="4"/>
  <c r="M223" i="4"/>
  <c r="G242" i="3"/>
  <c r="G239" i="3"/>
  <c r="G248" i="3"/>
  <c r="G238" i="3"/>
  <c r="G241" i="3"/>
  <c r="G247" i="3"/>
  <c r="C251" i="4" l="1"/>
  <c r="E251" i="4"/>
  <c r="E250" i="3"/>
  <c r="M234" i="4"/>
  <c r="I234" i="4"/>
  <c r="G251" i="4"/>
  <c r="G250" i="3"/>
  <c r="E253" i="1"/>
  <c r="G264" i="2"/>
  <c r="G252" i="2"/>
  <c r="G246" i="1"/>
  <c r="G248" i="1"/>
  <c r="G251" i="1"/>
  <c r="G242" i="1"/>
  <c r="G244" i="1"/>
  <c r="G247" i="1"/>
  <c r="G243" i="1"/>
  <c r="G249" i="1"/>
  <c r="G250" i="1"/>
  <c r="G245" i="1"/>
  <c r="G252" i="1"/>
  <c r="G263" i="2"/>
  <c r="G257" i="2"/>
  <c r="G259" i="2"/>
  <c r="G253" i="2"/>
  <c r="G261" i="2"/>
  <c r="G256" i="2"/>
  <c r="G262" i="2"/>
  <c r="G260" i="2"/>
  <c r="G255" i="2"/>
  <c r="G254" i="2"/>
  <c r="F264" i="2"/>
  <c r="G258" i="2"/>
  <c r="F253" i="1"/>
  <c r="G241" i="1"/>
  <c r="G253" i="1"/>
</calcChain>
</file>

<file path=xl/sharedStrings.xml><?xml version="1.0" encoding="utf-8"?>
<sst xmlns="http://schemas.openxmlformats.org/spreadsheetml/2006/main" count="1416" uniqueCount="338">
  <si>
    <t>Justificativas</t>
  </si>
  <si>
    <t xml:space="preserve"> relação as indenização e multas trabalhista</t>
  </si>
  <si>
    <t>O aumento dos valores envolvidos em 2025 justifica-se pelo crescimento do número de ações trabalhistas ajuizadas por ex-empregados de empresas terceirizadas.</t>
  </si>
  <si>
    <t xml:space="preserve"> controle de geração de resíduos para todas as empresas</t>
  </si>
  <si>
    <r>
      <t>A organização realiza o monitoramento e registro de resíduos exclusivamente no momento da</t>
    </r>
    <r>
      <rPr>
        <sz val="11"/>
        <color rgb="FF000000"/>
        <rFont val="Calibri"/>
        <family val="2"/>
        <scheme val="minor"/>
      </rPr>
      <t> coleta e destinação final. Essa metodologia garante a rastreabilidade e a precisão dos dados via manifestos e certificados, assegurando o pleno atendimento aos requisitos legais e a eficácia da gestão ambiental, sem prejuízo à conformidade regulatória."</t>
    </r>
  </si>
  <si>
    <t>Previdencia complementar: cabe uma nota no sistema de coleta sobre a origem do dado</t>
  </si>
  <si>
    <t>Para a Rio Paranapanema temos duas opções de Previdência complementar: Vivest previdencia antiga e incorporada da Duke e o Itaú padronizando as opções de benefícios da CTG</t>
  </si>
  <si>
    <t xml:space="preserve">Indicadores ANEEL - Rio Paraná Energia S.A.
</t>
  </si>
  <si>
    <t>Rio Paraná Energia S.A.</t>
  </si>
  <si>
    <t>Indicadores Operacionais e de Produtividade</t>
  </si>
  <si>
    <t>Dados técnicos (insumos, capacidade de produção, vendas, perdas)</t>
  </si>
  <si>
    <t>Energia gerada (GWh)</t>
  </si>
  <si>
    <t>UHE Ilha Solteira</t>
  </si>
  <si>
    <t>UHE Jupiá</t>
  </si>
  <si>
    <t>Energia vendida (GWh)</t>
  </si>
  <si>
    <t>Capacidade instalada (MW)</t>
  </si>
  <si>
    <t>Indicadores Econômico-Financeiros</t>
  </si>
  <si>
    <t>Receitas</t>
  </si>
  <si>
    <t>Venda de energia</t>
  </si>
  <si>
    <t>Prestação de serviços</t>
  </si>
  <si>
    <t>Receita de ativos financeiros</t>
  </si>
  <si>
    <t>Outras receitas</t>
  </si>
  <si>
    <t>Perdas estimadas para créditos de liquidação duvidosa (PECLD)</t>
  </si>
  <si>
    <t>Insumos adquiridos de terceiros</t>
  </si>
  <si>
    <t>Energia comprada e encargos de uso da rede</t>
  </si>
  <si>
    <t>Recuperação de custos de compra de energia pela extensão da concessão (acordo GSF)</t>
  </si>
  <si>
    <t>Contratos futuros de energia</t>
  </si>
  <si>
    <t>Materiais e serviços de terceiros</t>
  </si>
  <si>
    <t>Outros resultados operacionais</t>
  </si>
  <si>
    <t>Valor adicionado bruto</t>
  </si>
  <si>
    <t>Depreciação e amortização</t>
  </si>
  <si>
    <t>Reversão de perdas estimadas pela não recuperabilidade de ativos</t>
  </si>
  <si>
    <t>Valor adicionado líquido produzido</t>
  </si>
  <si>
    <t>Aluguéis</t>
  </si>
  <si>
    <t>Equivalência patrimonial</t>
  </si>
  <si>
    <t>Outras receitas financeiras</t>
  </si>
  <si>
    <t>Outras</t>
  </si>
  <si>
    <t>Valor adicionado recebido em transferência</t>
  </si>
  <si>
    <t>Valor adicionado total a distribuir</t>
  </si>
  <si>
    <t>Distribuição do valor adicionado</t>
  </si>
  <si>
    <t>Pessoal</t>
  </si>
  <si>
    <t>Remuneração direta</t>
  </si>
  <si>
    <t>Benefícios</t>
  </si>
  <si>
    <t>Fundo de Garantia do Tempo de Serviço (FGTS)</t>
  </si>
  <si>
    <t>(Reversão) / provisão para gratificação (bônus)</t>
  </si>
  <si>
    <t>Encargos sociais (exceto INSS)</t>
  </si>
  <si>
    <t>Impostos, taxas e contribuições</t>
  </si>
  <si>
    <t>Federais</t>
  </si>
  <si>
    <t>Estaduais</t>
  </si>
  <si>
    <t>Municipais</t>
  </si>
  <si>
    <t>Remuneração de capitais de terceiros</t>
  </si>
  <si>
    <t>Outras despesas financeiras</t>
  </si>
  <si>
    <t>Remuneração de capitais próprios</t>
  </si>
  <si>
    <t>Juros sobre capital próprio (JSCP)</t>
  </si>
  <si>
    <t>Dividendos</t>
  </si>
  <si>
    <t>Lucros retidos</t>
  </si>
  <si>
    <t>Participação dos não-controladores nos lucros retidos</t>
  </si>
  <si>
    <t>Valor adicionado distribuído</t>
  </si>
  <si>
    <t>Indicadores Sociais Internos</t>
  </si>
  <si>
    <t>Empregados/empregabilidade/administradores</t>
  </si>
  <si>
    <t>a) Informações gerais</t>
  </si>
  <si>
    <t>Número total de empregados</t>
  </si>
  <si>
    <t>Número de terceirizados (terceirizados, subcontratados, autônomos) por tipo de emprego, contrato de trabalho e região</t>
  </si>
  <si>
    <t>Empregados com até 30 anos de idade (%)</t>
  </si>
  <si>
    <t>Empregados com idade entre 31 e 40 anos (%)</t>
  </si>
  <si>
    <t>Empregados com idade entre 41 e 50 anos (%)</t>
  </si>
  <si>
    <t>Empregados com idade superior a 50 anos (%)</t>
  </si>
  <si>
    <t>Mulheres em relação ao total de empregados (%)</t>
  </si>
  <si>
    <t>Mulheres em cargos gerenciais – em relação ao total de cargos gerenciais (%)</t>
  </si>
  <si>
    <t>Empregadas negras em relação ao total de empregados (%)</t>
  </si>
  <si>
    <t>Empregados negros em relação ao total de empregados (%)</t>
  </si>
  <si>
    <t>Empregados negros (pretos e pardos) em cargos gerenciais em relação ao total de cargos gerenciais (%)</t>
  </si>
  <si>
    <t>Estagiários em relação ao total de empregados (%)</t>
  </si>
  <si>
    <t>Empregados do programa de contratação de aprendizes (%)</t>
  </si>
  <si>
    <t>Empregados portadores de deficiência (nº)</t>
  </si>
  <si>
    <t>b) Remuneração, benefícios e carreira (R$ mil)</t>
  </si>
  <si>
    <t>Folha de pagamento bruta</t>
  </si>
  <si>
    <t>Encargos sociais compulsórios</t>
  </si>
  <si>
    <t>Educação</t>
  </si>
  <si>
    <t>Alimentação</t>
  </si>
  <si>
    <t>Transporte</t>
  </si>
  <si>
    <t>Saúde</t>
  </si>
  <si>
    <t>Fundação (previdência privada)</t>
  </si>
  <si>
    <t>Segurança e medicina do trabalho</t>
  </si>
  <si>
    <t>Cultura</t>
  </si>
  <si>
    <t>Capacitação e desenvolvimento profissional</t>
  </si>
  <si>
    <t>Creche ou auxílio-creche</t>
  </si>
  <si>
    <t>Outros (especificar) (R$ mil) - Seguro de vida</t>
  </si>
  <si>
    <t>c) Participação nos resultados</t>
  </si>
  <si>
    <t>Investimento total em programa de participação nos resultados da empresa (R$ mil)</t>
  </si>
  <si>
    <t>Valores distribuídos em relação à folha de pagamento bruta (%)</t>
  </si>
  <si>
    <t>Divisão da maior remuneração pela menor remuneração paga pela outorgada</t>
  </si>
  <si>
    <t>Divisão da menor remuneração da empresa pelo salário mínimo vigente</t>
  </si>
  <si>
    <t>d) Perfil da remuneração – salário médio no ano corrente (R$)</t>
  </si>
  <si>
    <t>Cargos de diretoria</t>
  </si>
  <si>
    <t>Cargos gerenciais</t>
  </si>
  <si>
    <t>Cargos administrativos</t>
  </si>
  <si>
    <t>Cargos de produção/operacionais</t>
  </si>
  <si>
    <t>e) Saúde e segurança</t>
  </si>
  <si>
    <t>Média de horas extras por empregado/ano</t>
  </si>
  <si>
    <t>Índice TF (taxa de frequência) total da empresa no período, para empregados</t>
  </si>
  <si>
    <t>Índice TG (taxa de gravidade) no período, para empregados</t>
  </si>
  <si>
    <t>Índice TF (taxa de frequência) total da empresa no período, para terceirizados/contratados</t>
  </si>
  <si>
    <t>Índice TG (taxa de gravidade) no período, para terceirizados/contratados</t>
  </si>
  <si>
    <t>Índice TF (taxa de frequência) da empresa no período, para a força de trabalho (próprios + terceiros)</t>
  </si>
  <si>
    <t>Índice TG (taxa de gravidade) no período, para a força de trabalho (próprios + terceiros)</t>
  </si>
  <si>
    <t>Óbitos – próprios</t>
  </si>
  <si>
    <t>Óbitos – terceirizados</t>
  </si>
  <si>
    <t>Taxa de dias perdidos para empregados</t>
  </si>
  <si>
    <t>Taxa de absenteísmo</t>
  </si>
  <si>
    <t>N/D</t>
  </si>
  <si>
    <t>f) Desenvolvimento profissional</t>
  </si>
  <si>
    <t>Ensino fundamental (% sobre o total de empregados)</t>
  </si>
  <si>
    <t>Ensino médio (% sobre o total de empregados)</t>
  </si>
  <si>
    <t>Ensino técnico (% sobre o total de empregados)</t>
  </si>
  <si>
    <t>Ensino superior (% sobre o total de empregados)</t>
  </si>
  <si>
    <t>Pós-graduação – especialização, mestrado, doutorado (% sobre o total de empregados)</t>
  </si>
  <si>
    <t>Valor investido em desenvolvimento profissional e educação (R$ mil)</t>
  </si>
  <si>
    <t>Média de horas de treinamento por empregado e por nível funcional</t>
  </si>
  <si>
    <t>Diretoria</t>
  </si>
  <si>
    <t>Gerencial</t>
  </si>
  <si>
    <t>Administrativo</t>
  </si>
  <si>
    <t>Operacional</t>
  </si>
  <si>
    <t>Total de horas de treinamento por empregado/ano</t>
  </si>
  <si>
    <t>g) Comportamento frente a demissões</t>
  </si>
  <si>
    <t>Número de empregados ao final do período</t>
  </si>
  <si>
    <t>Número de admissões durante o período</t>
  </si>
  <si>
    <t>Taxa de rotatividade</t>
  </si>
  <si>
    <t>Reclamações trabalhistas</t>
  </si>
  <si>
    <t>Valor provisionado no período (R$ milhões)¹</t>
  </si>
  <si>
    <t>Número de processos trabalhistas movidos contra a empresa no período¹</t>
  </si>
  <si>
    <t>Número de processos trabalhistas julgados procedentes no período</t>
  </si>
  <si>
    <t>Número de processos trabalhistas julgados improcedentes no período</t>
  </si>
  <si>
    <t>Valor total de indenizações e multas pagas por determinação da Justiça no período (R$ mil)</t>
  </si>
  <si>
    <t>¹O aumento dos valores envolvidos em 2025 justifica-se pelo crescimento do número de ações trabalhistas ajuizadas por ex-empregados de empresas terceirizadas.</t>
  </si>
  <si>
    <t>h) Preparação para a aposentadoria</t>
  </si>
  <si>
    <t>Investimentos em previdência complementar (R$ mil)</t>
  </si>
  <si>
    <t>Número de beneficiados pelo programa de previdência complementar</t>
  </si>
  <si>
    <t>Indicadores Sociais Externos</t>
  </si>
  <si>
    <t>Comunidades</t>
  </si>
  <si>
    <t>Impactos na saúde e segurança</t>
  </si>
  <si>
    <t>Número total de acidentes sem óbito com a população</t>
  </si>
  <si>
    <t>Número total de acidentes com óbito com a população</t>
  </si>
  <si>
    <t>Demandas judiciais decorrentes de acidentes com a população – Base Contencioso Geral</t>
  </si>
  <si>
    <t>Envolvimento da empresa com ação social</t>
  </si>
  <si>
    <t>Recursos aplicados em educação (R$ mil)</t>
  </si>
  <si>
    <t>0,0*</t>
  </si>
  <si>
    <t>Recursos aplicados em saúde e saneamento (R$ mil)</t>
  </si>
  <si>
    <t>Recursos aplicados em cultura (R$ mil)</t>
  </si>
  <si>
    <t>Recursos aplicados em esportes (R$ mil)</t>
  </si>
  <si>
    <t>Outros recursos aplicados em ações sociais (R$ mil)</t>
  </si>
  <si>
    <t>Empregados que realizam trabalhos voluntários na comunidade externa à empresa/total de empregados (%)</t>
  </si>
  <si>
    <t>Quantidade de horas mensais doadas (liberadas do horário normal de trabalho) pela empresa para trabalho voluntário de empregados</t>
  </si>
  <si>
    <t>*Os valores zerados referem-se a aportes realizados diretamente pela Holding no âmbito do investimento social privado.</t>
  </si>
  <si>
    <t>Envolvimento da empresa em projetos culturais, esportivos, sociais (Lei Rouanet, Lei de Incentivo ao Esporte, Pronon, Pronas, Fundo da Infância e Adolescência, Fundo do Idoso)</t>
  </si>
  <si>
    <t>Montante de recursos destinados aos projetos (R$ mil)</t>
  </si>
  <si>
    <t>Número de projetos beneficiados</t>
  </si>
  <si>
    <t>Montante de recursos destinados ao maior projeto (R$ mil)</t>
  </si>
  <si>
    <t>Nome do projeto</t>
  </si>
  <si>
    <t>Futebol de Rua</t>
  </si>
  <si>
    <t>Proponente</t>
  </si>
  <si>
    <t>Instituto Futebol de Rua</t>
  </si>
  <si>
    <t>Indicadores Ambientais</t>
  </si>
  <si>
    <t>Geração e tratamento de resíduos</t>
  </si>
  <si>
    <t>Emissão</t>
  </si>
  <si>
    <t>Volume anual de gases de efeito estufa (CO₂, CH₄, N₂O, HFC, PFC, SF₆) emitidos na atmosfera (em toneladas de CO₂ equivalentes)</t>
  </si>
  <si>
    <t>Volume anual de emissões de gases destruidores da camada de ozônio (em toneladas de CFC equivalentes)¹</t>
  </si>
  <si>
    <t>¹Desde 2024, o reporte passou a ser realizado em tCFCe. Os valores reportados em 2022 e 2023, originalmente em tCO₂e, foram convertidos para tCFCe para padronização.</t>
  </si>
  <si>
    <t>Efluentes¹</t>
  </si>
  <si>
    <t>Descarte total de água, por qualidade e destinação (m³/ano)</t>
  </si>
  <si>
    <t>Rio (m³/ano)</t>
  </si>
  <si>
    <t>Estação de Tratamento de Efluentes (m³/ano)</t>
  </si>
  <si>
    <t>Empresa municipal de saneamento (m³/ano)</t>
  </si>
  <si>
    <t>¹A empresa opta pela declaração total do consumo de água outorgada uma vez que não há registros mensais dos consumos de água nas Usinas. Cálculo do volume de efluentes líquidos tratados e destinados ao corpo hídrico: metodologia baseada na NBR 17076/2024: Projeto de sistema de tratamento de esgoto de menor porte.</t>
  </si>
  <si>
    <t>Sólidos</t>
  </si>
  <si>
    <t>Quantidade anual (em toneladas) de resíduos sólidos gerados (lixo, dejetos, entulho etc.)¹</t>
  </si>
  <si>
    <t>Quantidade de resíduos contaminados por PCB (ascarel) destinados (kg)</t>
  </si>
  <si>
    <t>¹A organização realiza o monitoramento e registro de resíduos exclusivamente no momento da coleta e destinação final. Essa metodologia garante a rastreabilidade e a precisão dos dados via manifestos e certificados, assegurando o pleno atendimento aos requisitos legais e a eficácia da gestão ambiental, sem prejuízo à conformidade regulatória.</t>
  </si>
  <si>
    <t>Uso de recursos no processo produtivo e em processos gerenciais da organização</t>
  </si>
  <si>
    <t>Consumo total de energia por fonte (GJ)</t>
  </si>
  <si>
    <t>Combustíveis não renováveis (GJ)</t>
  </si>
  <si>
    <t>Diesel (GJ)</t>
  </si>
  <si>
    <t>Gasolina (GJ)</t>
  </si>
  <si>
    <t>Gás natural (GJ)</t>
  </si>
  <si>
    <t>Outros – grupo auxiliar de emergência (reposição diesel) (GJ)</t>
  </si>
  <si>
    <t>Combustíveis renováveis (GJ)</t>
  </si>
  <si>
    <t>Etanol (GJ)</t>
  </si>
  <si>
    <t>Eletricidade (GJ)</t>
  </si>
  <si>
    <t>Energia elétrica vendida (GJ)</t>
  </si>
  <si>
    <t>Consumo de energia por GJ vendido (GJ)</t>
  </si>
  <si>
    <t>Consumo total de água por fonte (em m3)¹ ²</t>
  </si>
  <si>
    <t>Abastecimento (rede pública) (m³)</t>
  </si>
  <si>
    <t>Fonte subterrânea (poço) (m³)</t>
  </si>
  <si>
    <t>Captação superficial (cursos d’água) (m³)</t>
  </si>
  <si>
    <t>Água mineral engarrafada (consumo humano) (m³)</t>
  </si>
  <si>
    <t>Consumo total de água (em m³)¹ ²</t>
  </si>
  <si>
    <t>Consumo de água por empregado (m³)</t>
  </si>
  <si>
    <t>¹A empresa opta pela declaração total do consumo de água outorgada uma vez que não há registros mensais dos consumos de água nas Usinas. Cálculo do volume de efluentes líquidos tratados e destinados ao corpo hídrico: metodologia baseada na NBR 17076/2024: Projeto de sistema de tratamento de esgoto de menor porte.
² Houve um equívoco na apuração dos dados de consumo de energia por GJ vendido do ano de 2023, por este motivo, os dados foram corrigidos.</t>
  </si>
  <si>
    <t>Educação e conscientização ambiental</t>
  </si>
  <si>
    <t>Educação ambiental – Na organização</t>
  </si>
  <si>
    <t>Número de empregados treinados nos programas de educação ambiental</t>
  </si>
  <si>
    <t>Percentual de empregados treinados nos programas de educação ambiental/total de empregados</t>
  </si>
  <si>
    <t>Número de horas de treinamento ambiental/total de horas de treinamento</t>
  </si>
  <si>
    <t>Educação ambiental – Comunidade</t>
  </si>
  <si>
    <t>Número de unidades de ensino fundamental e médio atendidas</t>
  </si>
  <si>
    <t>Número de alunos atendidos</t>
  </si>
  <si>
    <t>Número de professores capacitados</t>
  </si>
  <si>
    <t>Número de unidades de ensino técnico e superior atendidas</t>
  </si>
  <si>
    <t>Recursos aplicados (R$ mil)</t>
  </si>
  <si>
    <t>Indicadores de desempenho</t>
  </si>
  <si>
    <t>2024¹</t>
  </si>
  <si>
    <t>2023¹</t>
  </si>
  <si>
    <t>Consumo de energia elétrica das unidades geradoras e auxiliares (kWh)</t>
  </si>
  <si>
    <t>¹Foi identificada inconsistência na unidade de medida dos dados reportados nos anos anteriores. A partir de 2024, o consumo passou a ser apresentado corretamente em kWh.</t>
  </si>
  <si>
    <t>Consumo de água por KWh gerado (consumo máximo de vazão (m³/s) por KWh entregue)</t>
  </si>
  <si>
    <t>Restauração de mata ciliar (hectares)</t>
  </si>
  <si>
    <t>Resgate de peixes em turbinas (Kg)²</t>
  </si>
  <si>
    <t>Repovoamento de peixes (quantidade de alevinos)²</t>
  </si>
  <si>
    <t>²A CTG Brasil manteve os quantitativos de repovoamento de peixes nativos previstos nas Licenças de Operação e nos Contratos de Concessão. Os dados de resgate de peixes em turbinas variam anualmente, conforme o número de paradas de máquinas e as condições ambientais do período.</t>
  </si>
  <si>
    <t>Vazamento de óleos lubrificante e hidráulico nas turbinas (m³/ano)</t>
  </si>
  <si>
    <t>Recuperação de áreas degradadas pela extração do carvão e de seus resíduos gerados (unidade de área recuperada – hectares por ano)</t>
  </si>
  <si>
    <t>Recuperação de áreas degradadas pela extração do carvão e de seus resíduos gerados (empenho de recursos em projetos de recuperação e preservação) (R$/ano)</t>
  </si>
  <si>
    <t>Consumo de água de reposição durante a geração (m³/MWh)</t>
  </si>
  <si>
    <t>Indicadores de Governança Corporativa</t>
  </si>
  <si>
    <t>2025¹</t>
  </si>
  <si>
    <t xml:space="preserve">Governança - Administradores (Conselho de administração, Diretoria Executiva e ConselhoFiscal) </t>
  </si>
  <si>
    <t>CA</t>
  </si>
  <si>
    <t>DE</t>
  </si>
  <si>
    <t>CF</t>
  </si>
  <si>
    <t>Total</t>
  </si>
  <si>
    <t>Número de membros</t>
  </si>
  <si>
    <t>Número de membros remunerados</t>
  </si>
  <si>
    <t>Remuneração fixa anual (R$ mil)</t>
  </si>
  <si>
    <t>Salário ou pró-labore</t>
  </si>
  <si>
    <t>Benefícios diretos ou indiretos</t>
  </si>
  <si>
    <t>Participações em comitês</t>
  </si>
  <si>
    <t>Outros</t>
  </si>
  <si>
    <t>Remuneração variável (R$ mil)</t>
  </si>
  <si>
    <t>Bônus</t>
  </si>
  <si>
    <t>Participação em resultados</t>
  </si>
  <si>
    <t>Participação em reuniões</t>
  </si>
  <si>
    <t>Comissões</t>
  </si>
  <si>
    <t>Total da remuneração</t>
  </si>
  <si>
    <t>¹Em 2025, houve a saída de um diretor estatutário da Rio Paraná.</t>
  </si>
  <si>
    <t>Indicadores do Setor Elétrico</t>
  </si>
  <si>
    <t>2025
Valor (R$ - mil)</t>
  </si>
  <si>
    <t>2025
(%)</t>
  </si>
  <si>
    <t>2024
Valor (R$ - mil)</t>
  </si>
  <si>
    <t>2024
(%)</t>
  </si>
  <si>
    <t>2023
Valor (R$ - mil)</t>
  </si>
  <si>
    <t>2023
(%)</t>
  </si>
  <si>
    <t>Recursos aplicados em pesquisa e desenvolvimento tecnológico e científico por temas de pesquisa (Manual de Pesquisa e Desenvolvimento – Aneel)</t>
  </si>
  <si>
    <t>FA – Fontes Alternativas de Geração de Energia Elétrica</t>
  </si>
  <si>
    <t>GT – Geração Termelétrica</t>
  </si>
  <si>
    <t>GB – Gestão de Bacias e Reservatórios</t>
  </si>
  <si>
    <t>MA – Meio Ambiente</t>
  </si>
  <si>
    <t>SE – Segurança</t>
  </si>
  <si>
    <t>EF – Eficiência Energética</t>
  </si>
  <si>
    <t>PL – Planejamento de Sistemas de Energia Elétrica</t>
  </si>
  <si>
    <t>OP – Operação de Sistemas de Energia Elétrica</t>
  </si>
  <si>
    <t>SC – Supervisão, Controle e Proteção de Sistemas de Energia Elétrica</t>
  </si>
  <si>
    <t>QC – Qualidade e Confiabilidade dos Serviços de Energia Elétrica</t>
  </si>
  <si>
    <t>MF – Medição, Faturamento e Combate a Perdas Comerciais</t>
  </si>
  <si>
    <t>OU – Outro</t>
  </si>
  <si>
    <t>Indicadores ANEEL - Rio Paranapanema Energia S.A.</t>
  </si>
  <si>
    <t>Rio Paranapanema Energia S.A.</t>
  </si>
  <si>
    <t>UHE Jurumirim</t>
  </si>
  <si>
    <t>UHE Chavantes</t>
  </si>
  <si>
    <t>UHE Salto Grande</t>
  </si>
  <si>
    <t>UHE Canoas II¹</t>
  </si>
  <si>
    <t>UHE Canoas I¹</t>
  </si>
  <si>
    <t>UHE Capivara</t>
  </si>
  <si>
    <t>UHE Taquaruçu</t>
  </si>
  <si>
    <t>UHE Rosana</t>
  </si>
  <si>
    <t>PCH Palmeiras</t>
  </si>
  <si>
    <t>PCH Retiro</t>
  </si>
  <si>
    <t>¹A UHE Canoas I e II pertencem ao Consórcio Canoas, formado por Rio Paranapanema e CBA. A capacidade instalada total informada considera 100% da capacidade instalada das usinas Canoas I e Canoas II, sem considerar o percentual de participação da CTG no Consórcio Canoas.</t>
  </si>
  <si>
    <t>-</t>
  </si>
  <si>
    <t>Participação nos resultados</t>
  </si>
  <si>
    <t>Número de processos trabalhistas movidos contra a empresa no período</t>
  </si>
  <si>
    <t>Investimentos em previdência complementar (R$ mil)¹</t>
  </si>
  <si>
    <t>¹Para a Rio Paranapanema temos duas opções de Previdência complementar: Vivest previdencia antiga e incorporada da Duke Energia e o Itaú, padronizando as opções de benefícios da CTG.</t>
  </si>
  <si>
    <t>Guri</t>
  </si>
  <si>
    <t>Ballet da China - Turnê Nacional</t>
  </si>
  <si>
    <t>Associação de Cultura, Educação e Assistência Social Santa Marcelina</t>
  </si>
  <si>
    <t>Gaia Produções Artísticas e Culturais Ltda.</t>
  </si>
  <si>
    <t>Santa Marcelina Cultura</t>
  </si>
  <si>
    <t>¹A empresa opta pela declaração total do consumo de água outorgada uma vez que não há registros mensais dos consumos de água nas Usinas. Cálculo do volume de efluentes líquidos tratados e destinados ao corpo hídrico: metodologia baseada na NBR 17076/2024: Projeto de sistema de tratamento de esgoto de menor porte, tabela 01.</t>
  </si>
  <si>
    <t>Consumo total de água por fonte¹ (em m³)</t>
  </si>
  <si>
    <t xml:space="preserve">Consumo total de água¹ (em m³) </t>
  </si>
  <si>
    <t>Governança - Administradores (Conselho de administração, Diretoria Executiva e Conselho  Fiscal)</t>
  </si>
  <si>
    <t>¹Dos 15 membros com mandato no período de 2025, quatro diretores encerraram seus mandatos em novembro de 2025, e um conselheiro fiscal encerrou seu mandato em abril de 2025.</t>
  </si>
  <si>
    <t>Indicadores ANEEL - Rio Verde Energia S.A.</t>
  </si>
  <si>
    <t>Rio Verde Energia S.A.</t>
  </si>
  <si>
    <t>Valor provisionado no período (R$ milhões)</t>
  </si>
  <si>
    <t>Ópera de Pequim</t>
  </si>
  <si>
    <t>Museu da Energia e Saneamento</t>
  </si>
  <si>
    <t>Dell’Arte São Paulo Eventos e Serviços Ltda.</t>
  </si>
  <si>
    <t>Fundação Patrimônio Histórico da Energia e
Saneamento</t>
  </si>
  <si>
    <t>Volume anual de emissões de gases destruidores a camada de ozônio (em toneladas de CFC equivalentes)¹</t>
  </si>
  <si>
    <t>Consumo total de água por fonte (em m³)¹</t>
  </si>
  <si>
    <t>Consumo total de água (em m³)¹</t>
  </si>
  <si>
    <t>Consumo de água por kWh gerado (consumo máximo de vazão (m³/s) por kWh entregue)</t>
  </si>
  <si>
    <t>Resgate de peixes em turbinas (Kg)</t>
  </si>
  <si>
    <t>Repovoamento de peixes (quantidade de alevinos)</t>
  </si>
  <si>
    <t>Governança - Administradores (Conselho de  administração, Diretoria Executiva e Conselho Fiscal)¹</t>
  </si>
  <si>
    <t>¹Não há membros de Conselho de Administração (CA) ou Conselho Fiscal (CF) em Rio Verde.</t>
  </si>
  <si>
    <t>2025¹
Valor (R$ - mil)</t>
  </si>
  <si>
    <t>2024¹
Valor (R$ - mil)</t>
  </si>
  <si>
    <t>Recursos aplicados em pesquisa e desenvolvimento tecnológico e científico por temas de pesquisa (Manual de Pesquisa e Desenvolvimento – Aneel)¹</t>
  </si>
  <si>
    <t>¹Não houve projetos em 2025 e 2024.</t>
  </si>
  <si>
    <t>Indicadores ANEEL - Rio Canoas Energia S.A.</t>
  </si>
  <si>
    <t>Rio Canoas Energia S.A.</t>
  </si>
  <si>
    <t>Distribuição do valor adicionado (R$ mil)</t>
  </si>
  <si>
    <t>55.9</t>
  </si>
  <si>
    <t>Musicou</t>
  </si>
  <si>
    <t>Ballet Brasileiro</t>
  </si>
  <si>
    <t>Sustenidos Organização Social de Cultura</t>
  </si>
  <si>
    <t>Détaché Eventos Musicais</t>
  </si>
  <si>
    <t>727,60**</t>
  </si>
  <si>
    <t>**Consumo elevado devido à baixa afluência hídrica, com redução da geração (UHE Garibaldi) foi necessária a compra de energia para serviços auxiliares.</t>
  </si>
  <si>
    <t>¹A empresa opta pela declaração total do consumo de água outorgada uma vez que não há registros mensais dos consumos de água nas Usinas. Cálculo do volume de efluentes líquidos tratados e destinados ao corpo hídrico: metodologia baseada na NBR 17076/2024: Projeto de sistema de tratamento de esgoto de menor porte, .</t>
  </si>
  <si>
    <t>Indicadores de Desempenho</t>
  </si>
  <si>
    <t>Governança - Administradores (Conselho de administração, Diretoria Executiva e Conselho Fiscal)¹</t>
  </si>
  <si>
    <t>¹Não há membros de Conselho de Administração (CA) ou Conselho Fiscal (CF) em Rio Canoas.</t>
  </si>
  <si>
    <t>Indicadores ANEEL - Arinos Energias Renováveis S.A.</t>
  </si>
  <si>
    <t>Arinos Energias Renovaveis S.A.</t>
  </si>
  <si>
    <t>Outros recursos aplicados em ações sociais (R$ mil)¹</t>
  </si>
  <si>
    <t>¹ Em 2025, a Arinos destinou R$ 313.800,00 ao projeto Usina de Negócios de Arinos, voltado à geração de renda.</t>
  </si>
  <si>
    <t>n/a</t>
  </si>
  <si>
    <t>Volume anual de gases de efeito estufa (CO₂, CH₄, N₂O, HFC, PFC, SF₆) emitidos na atmosfera (em toneladas de CO₂ equivalentes)¹</t>
  </si>
  <si>
    <t>Volume anual de emissões de gases destruidores da camada de ozônio (em toneladas de CFC equivalentes)</t>
  </si>
  <si>
    <t>¹ Não há dados disponíveis. A elaboração do inventário de emissões de GEE está prevista para iniciar em 2026.</t>
  </si>
  <si>
    <t>Educação ambiental – Na organização¹</t>
  </si>
  <si>
    <t>Percentual de empregados treinados nos programas de educação ambiental/total de empregados (%)</t>
  </si>
  <si>
    <t>¹Em 2025, a operação encontrava-se em fase de transição entre os contratos de implantação e operação. Por esse motivo, foi realizada apenas uma campanha voltada aos trabalhadores, além de um diagnóstico de stakeholders da comunidade. As campanhas relacionadas à fase operacional terão início em 2026.</t>
  </si>
  <si>
    <t>¹Não há membros de Conselho de Administração (CA),  Diretoria Estatutária (DE) ou Conselho Fiscal (CF) em Arinos.</t>
  </si>
  <si>
    <t>¹A empresa não possui programa regulado de P&amp;D da ANEEL.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</si>
</sst>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#,##0.0000000"/>
    <numFmt numFmtId="166" formatCode="_(* #,##0.00_);_(* \(#,##0.00\);_(* &quot;-&quot;??_);_(@_)"/>
    <numFmt numFmtId="167" formatCode="_(* #,##0_);_(* \(#,##0\);_(* &quot;-&quot;??_);_(@_)"/>
    <numFmt numFmtId="168" formatCode="_(* #,##0_);_(* \(#,##0\);_(* &quot;-&quot;_);_(@_)"/>
    <numFmt numFmtId="169" formatCode="_ * #,##0.00_ ;_ * \-#,##0.00_ ;_ * &quot;-&quot;??_ ;_ @_ "/>
    <numFmt numFmtId="170" formatCode="#,##0.000000"/>
    <numFmt numFmtId="171" formatCode="#,##0.000"/>
    <numFmt numFmtId="172" formatCode="0.0"/>
    <numFmt numFmtId="173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800000"/>
      <name val="Calibri"/>
      <family val="2"/>
      <scheme val="minor"/>
    </font>
    <font>
      <b/>
      <sz val="10"/>
      <color rgb="FF3B6BFA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8"/>
      <color rgb="FF124680"/>
      <name val="Calibri"/>
      <family val="2"/>
      <scheme val="minor"/>
    </font>
    <font>
      <b/>
      <sz val="18"/>
      <color rgb="FF124680"/>
      <name val="Calibri"/>
      <family val="2"/>
      <scheme val="minor"/>
    </font>
    <font>
      <b/>
      <sz val="10"/>
      <color rgb="FF005BAC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rgb="FF124680"/>
      <name val="Calibri"/>
      <family val="2"/>
      <scheme val="minor"/>
    </font>
    <font>
      <sz val="9"/>
      <color rgb="FF636466"/>
      <name val="Calibri"/>
      <family val="2"/>
      <scheme val="minor"/>
    </font>
    <font>
      <b/>
      <sz val="9"/>
      <color rgb="FF63646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B6BFA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5FE"/>
        <bgColor rgb="FFF4CCCC"/>
      </patternFill>
    </fill>
    <fill>
      <patternFill patternType="solid">
        <fgColor rgb="FFC6D5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E74BB"/>
        <bgColor rgb="FFC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3EB4E4"/>
      </top>
      <bottom style="thin">
        <color rgb="FF3EB4E4"/>
      </bottom>
      <diagonal/>
    </border>
    <border>
      <left/>
      <right/>
      <top/>
      <bottom style="thin">
        <color rgb="FF3EB4E4"/>
      </bottom>
      <diagonal/>
    </border>
    <border>
      <left/>
      <right/>
      <top style="thin">
        <color rgb="FF636466"/>
      </top>
      <bottom/>
      <diagonal/>
    </border>
    <border>
      <left/>
      <right/>
      <top style="thin">
        <color rgb="FF3EB4E4"/>
      </top>
      <bottom style="thin">
        <color rgb="FF636466"/>
      </bottom>
      <diagonal/>
    </border>
    <border>
      <left/>
      <right/>
      <top style="thin">
        <color rgb="FF636466"/>
      </top>
      <bottom style="thin">
        <color rgb="FF636466"/>
      </bottom>
      <diagonal/>
    </border>
    <border>
      <left/>
      <right/>
      <top/>
      <bottom style="thin">
        <color rgb="FF636466"/>
      </bottom>
      <diagonal/>
    </border>
    <border>
      <left/>
      <right/>
      <top style="thin">
        <color indexed="64"/>
      </top>
      <bottom style="thin">
        <color rgb="FF636466"/>
      </bottom>
      <diagonal/>
    </border>
    <border>
      <left/>
      <right/>
      <top style="thin">
        <color rgb="FF636466"/>
      </top>
      <bottom style="thin">
        <color rgb="FF3EB4E4"/>
      </bottom>
      <diagonal/>
    </border>
    <border>
      <left/>
      <right/>
      <top style="thin">
        <color rgb="FF3EB4E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2" tint="-9.9978637043366805E-2"/>
      </top>
      <bottom style="thin">
        <color rgb="FF636466"/>
      </bottom>
      <diagonal/>
    </border>
    <border>
      <left/>
      <right/>
      <top style="thin">
        <color theme="2" tint="-0.499984740745262"/>
      </top>
      <bottom style="thin">
        <color rgb="FF636466"/>
      </bottom>
      <diagonal/>
    </border>
    <border>
      <left/>
      <right/>
      <top style="thin">
        <color rgb="FF3EB4E4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rgb="FF636466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 style="thin">
        <color theme="2" tint="-9.9978637043366805E-2"/>
      </top>
      <bottom style="thin">
        <color theme="2" tint="-0.499984740745262"/>
      </bottom>
      <diagonal/>
    </border>
    <border>
      <left/>
      <right style="thin">
        <color theme="0"/>
      </right>
      <top/>
      <bottom style="thin">
        <color rgb="FF3EB4E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rgb="FF636466"/>
      </top>
      <bottom style="thin">
        <color indexed="64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 style="thin">
        <color rgb="FF636466"/>
      </left>
      <right/>
      <top style="thin">
        <color theme="2" tint="-0.499984740745262"/>
      </top>
      <bottom style="thin">
        <color rgb="FF00B0F0"/>
      </bottom>
      <diagonal/>
    </border>
    <border>
      <left style="thin">
        <color rgb="FF636466"/>
      </left>
      <right/>
      <top style="thin">
        <color rgb="FF636466"/>
      </top>
      <bottom style="thin">
        <color rgb="FF00B0F0"/>
      </bottom>
      <diagonal/>
    </border>
    <border>
      <left/>
      <right/>
      <top style="thin">
        <color rgb="FF636466"/>
      </top>
      <bottom style="thin">
        <color rgb="FF00B0F0"/>
      </bottom>
      <diagonal/>
    </border>
    <border>
      <left style="thin">
        <color rgb="FF636466"/>
      </left>
      <right/>
      <top style="thin">
        <color rgb="FF636466"/>
      </top>
      <bottom style="thin">
        <color indexed="64"/>
      </bottom>
      <diagonal/>
    </border>
    <border>
      <left/>
      <right/>
      <top style="thin">
        <color rgb="FF00B0F0"/>
      </top>
      <bottom style="thin">
        <color theme="2" tint="-0.499984740745262"/>
      </bottom>
      <diagonal/>
    </border>
    <border>
      <left/>
      <right/>
      <top style="thin">
        <color rgb="FF3EB4E4"/>
      </top>
      <bottom style="thin">
        <color rgb="FF00B0F0"/>
      </bottom>
      <diagonal/>
    </border>
    <border>
      <left/>
      <right/>
      <top style="thin">
        <color rgb="FF3EB4E4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rgb="FF3EB4E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</cellStyleXfs>
  <cellXfs count="443">
    <xf numFmtId="0" fontId="0" fillId="0" borderId="0" xfId="0"/>
    <xf numFmtId="0" fontId="5" fillId="0" borderId="13" xfId="0" applyFont="1" applyBorder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wrapText="1"/>
    </xf>
    <xf numFmtId="4" fontId="18" fillId="0" borderId="7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left" wrapText="1"/>
    </xf>
    <xf numFmtId="4" fontId="18" fillId="0" borderId="16" xfId="0" applyNumberFormat="1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right" vertical="center"/>
    </xf>
    <xf numFmtId="4" fontId="18" fillId="0" borderId="17" xfId="0" applyNumberFormat="1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 wrapText="1"/>
    </xf>
    <xf numFmtId="0" fontId="19" fillId="0" borderId="17" xfId="2" applyFont="1" applyBorder="1" applyAlignment="1">
      <alignment vertical="center"/>
    </xf>
    <xf numFmtId="167" fontId="19" fillId="0" borderId="9" xfId="3" applyNumberFormat="1" applyFont="1" applyFill="1" applyBorder="1" applyAlignment="1">
      <alignment horizontal="right" vertical="center"/>
    </xf>
    <xf numFmtId="167" fontId="18" fillId="0" borderId="20" xfId="3" applyNumberFormat="1" applyFont="1" applyFill="1" applyBorder="1" applyAlignment="1">
      <alignment horizontal="right" vertical="center"/>
    </xf>
    <xf numFmtId="0" fontId="0" fillId="0" borderId="17" xfId="0" applyBorder="1"/>
    <xf numFmtId="167" fontId="18" fillId="0" borderId="17" xfId="3" applyNumberFormat="1" applyFont="1" applyFill="1" applyBorder="1" applyAlignment="1">
      <alignment horizontal="right" vertical="center"/>
    </xf>
    <xf numFmtId="167" fontId="18" fillId="0" borderId="17" xfId="3" applyNumberFormat="1" applyFont="1" applyFill="1" applyBorder="1" applyAlignment="1">
      <alignment vertical="center"/>
    </xf>
    <xf numFmtId="167" fontId="18" fillId="0" borderId="17" xfId="3" applyNumberFormat="1" applyFont="1" applyFill="1" applyBorder="1" applyAlignment="1">
      <alignment horizontal="center" vertical="center"/>
    </xf>
    <xf numFmtId="167" fontId="19" fillId="0" borderId="17" xfId="3" applyNumberFormat="1" applyFont="1" applyFill="1" applyBorder="1" applyAlignment="1">
      <alignment horizontal="right" vertical="center"/>
    </xf>
    <xf numFmtId="167" fontId="18" fillId="0" borderId="9" xfId="3" applyNumberFormat="1" applyFont="1" applyFill="1" applyBorder="1" applyAlignment="1">
      <alignment horizontal="right" vertical="center"/>
    </xf>
    <xf numFmtId="167" fontId="18" fillId="0" borderId="9" xfId="3" applyNumberFormat="1" applyFont="1" applyFill="1" applyBorder="1" applyAlignment="1">
      <alignment horizontal="center" vertical="center"/>
    </xf>
    <xf numFmtId="167" fontId="18" fillId="0" borderId="20" xfId="3" applyNumberFormat="1" applyFont="1" applyFill="1" applyBorder="1" applyAlignment="1">
      <alignment horizontal="center" vertical="center"/>
    </xf>
    <xf numFmtId="0" fontId="19" fillId="0" borderId="18" xfId="2" applyFont="1" applyBorder="1" applyAlignment="1">
      <alignment vertical="center"/>
    </xf>
    <xf numFmtId="167" fontId="19" fillId="0" borderId="18" xfId="3" applyNumberFormat="1" applyFont="1" applyFill="1" applyBorder="1" applyAlignment="1">
      <alignment horizontal="right" vertical="center"/>
    </xf>
    <xf numFmtId="167" fontId="19" fillId="0" borderId="0" xfId="3" applyNumberFormat="1" applyFont="1" applyFill="1" applyBorder="1" applyAlignment="1">
      <alignment horizontal="right" vertical="center"/>
    </xf>
    <xf numFmtId="167" fontId="19" fillId="0" borderId="18" xfId="3" applyNumberFormat="1" applyFont="1" applyFill="1" applyBorder="1" applyAlignment="1">
      <alignment vertical="center"/>
    </xf>
    <xf numFmtId="0" fontId="17" fillId="0" borderId="18" xfId="2" applyFont="1" applyBorder="1" applyAlignment="1">
      <alignment vertical="center"/>
    </xf>
    <xf numFmtId="167" fontId="19" fillId="0" borderId="19" xfId="3" applyNumberFormat="1" applyFont="1" applyFill="1" applyBorder="1" applyAlignment="1">
      <alignment horizontal="right" vertical="center"/>
    </xf>
    <xf numFmtId="167" fontId="19" fillId="0" borderId="15" xfId="3" applyNumberFormat="1" applyFont="1" applyFill="1" applyBorder="1" applyAlignment="1">
      <alignment horizontal="right" vertical="center"/>
    </xf>
    <xf numFmtId="167" fontId="18" fillId="0" borderId="18" xfId="3" applyNumberFormat="1" applyFont="1" applyFill="1" applyBorder="1" applyAlignment="1">
      <alignment horizontal="right" vertical="center"/>
    </xf>
    <xf numFmtId="167" fontId="18" fillId="0" borderId="0" xfId="3" applyNumberFormat="1" applyFont="1" applyFill="1" applyBorder="1" applyAlignment="1">
      <alignment horizontal="right" vertical="center"/>
    </xf>
    <xf numFmtId="167" fontId="18" fillId="0" borderId="0" xfId="3" applyNumberFormat="1" applyFont="1" applyFill="1" applyBorder="1" applyAlignment="1">
      <alignment horizontal="center" vertical="center"/>
    </xf>
    <xf numFmtId="167" fontId="18" fillId="0" borderId="19" xfId="3" applyNumberFormat="1" applyFont="1" applyFill="1" applyBorder="1" applyAlignment="1">
      <alignment horizontal="center" vertical="center"/>
    </xf>
    <xf numFmtId="167" fontId="18" fillId="0" borderId="0" xfId="3" applyNumberFormat="1" applyFont="1" applyFill="1" applyBorder="1" applyAlignment="1">
      <alignment vertical="center"/>
    </xf>
    <xf numFmtId="167" fontId="18" fillId="0" borderId="18" xfId="3" applyNumberFormat="1" applyFont="1" applyFill="1" applyBorder="1" applyAlignment="1">
      <alignment horizontal="center" vertical="center"/>
    </xf>
    <xf numFmtId="167" fontId="18" fillId="4" borderId="15" xfId="3" applyNumberFormat="1" applyFont="1" applyFill="1" applyBorder="1" applyAlignment="1">
      <alignment horizontal="right" vertical="center"/>
    </xf>
    <xf numFmtId="167" fontId="18" fillId="0" borderId="15" xfId="3" applyNumberFormat="1" applyFont="1" applyFill="1" applyBorder="1" applyAlignment="1">
      <alignment vertical="center"/>
    </xf>
    <xf numFmtId="167" fontId="18" fillId="0" borderId="6" xfId="3" applyNumberFormat="1" applyFont="1" applyFill="1" applyBorder="1" applyAlignment="1">
      <alignment horizontal="right" vertical="center"/>
    </xf>
    <xf numFmtId="167" fontId="18" fillId="0" borderId="6" xfId="3" applyNumberFormat="1" applyFont="1" applyFill="1" applyBorder="1" applyAlignment="1">
      <alignment vertical="center"/>
    </xf>
    <xf numFmtId="167" fontId="18" fillId="0" borderId="15" xfId="3" applyNumberFormat="1" applyFont="1" applyFill="1" applyBorder="1" applyAlignment="1">
      <alignment horizontal="right" vertical="center"/>
    </xf>
    <xf numFmtId="167" fontId="18" fillId="0" borderId="15" xfId="3" applyNumberFormat="1" applyFont="1" applyFill="1" applyBorder="1" applyAlignment="1">
      <alignment horizontal="center" vertical="center"/>
    </xf>
    <xf numFmtId="167" fontId="18" fillId="0" borderId="6" xfId="3" applyNumberFormat="1" applyFont="1" applyFill="1" applyBorder="1" applyAlignment="1">
      <alignment horizontal="center" vertical="center"/>
    </xf>
    <xf numFmtId="167" fontId="18" fillId="0" borderId="19" xfId="3" applyNumberFormat="1" applyFont="1" applyFill="1" applyBorder="1" applyAlignment="1">
      <alignment horizontal="right" vertical="center"/>
    </xf>
    <xf numFmtId="167" fontId="18" fillId="0" borderId="18" xfId="3" applyNumberFormat="1" applyFont="1" applyFill="1" applyBorder="1" applyAlignment="1">
      <alignment vertical="center"/>
    </xf>
    <xf numFmtId="167" fontId="19" fillId="0" borderId="0" xfId="3" applyNumberFormat="1" applyFont="1" applyFill="1" applyBorder="1" applyAlignment="1">
      <alignment vertical="center"/>
    </xf>
    <xf numFmtId="0" fontId="0" fillId="0" borderId="18" xfId="0" applyBorder="1"/>
    <xf numFmtId="0" fontId="19" fillId="0" borderId="18" xfId="4" applyFont="1" applyBorder="1" applyAlignment="1">
      <alignment vertical="center"/>
    </xf>
    <xf numFmtId="167" fontId="19" fillId="0" borderId="18" xfId="5" applyNumberFormat="1" applyFont="1" applyFill="1" applyBorder="1" applyAlignment="1">
      <alignment vertical="center"/>
    </xf>
    <xf numFmtId="167" fontId="19" fillId="0" borderId="0" xfId="5" applyNumberFormat="1" applyFont="1" applyFill="1" applyBorder="1" applyAlignment="1">
      <alignment vertical="center"/>
    </xf>
    <xf numFmtId="0" fontId="17" fillId="0" borderId="12" xfId="0" applyFont="1" applyBorder="1" applyAlignment="1">
      <alignment horizontal="left"/>
    </xf>
    <xf numFmtId="0" fontId="20" fillId="0" borderId="12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19" fillId="0" borderId="15" xfId="0" applyFont="1" applyBorder="1" applyAlignment="1">
      <alignment horizontal="left" wrapText="1"/>
    </xf>
    <xf numFmtId="3" fontId="21" fillId="0" borderId="15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 vertical="center"/>
    </xf>
    <xf numFmtId="0" fontId="18" fillId="4" borderId="8" xfId="0" applyFont="1" applyFill="1" applyBorder="1" applyAlignment="1">
      <alignment horizontal="right" vertical="center"/>
    </xf>
    <xf numFmtId="172" fontId="18" fillId="0" borderId="8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wrapText="1"/>
    </xf>
    <xf numFmtId="172" fontId="18" fillId="0" borderId="0" xfId="0" applyNumberFormat="1" applyFont="1" applyAlignment="1">
      <alignment horizontal="right" vertical="center"/>
    </xf>
    <xf numFmtId="0" fontId="19" fillId="0" borderId="2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6" borderId="8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3" fontId="19" fillId="0" borderId="8" xfId="0" applyNumberFormat="1" applyFont="1" applyBorder="1" applyAlignment="1">
      <alignment horizontal="right" vertical="center"/>
    </xf>
    <xf numFmtId="3" fontId="18" fillId="0" borderId="8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3" fontId="21" fillId="0" borderId="8" xfId="0" applyNumberFormat="1" applyFont="1" applyBorder="1" applyAlignment="1">
      <alignment horizontal="right"/>
    </xf>
    <xf numFmtId="1" fontId="18" fillId="0" borderId="0" xfId="1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164" fontId="18" fillId="0" borderId="8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wrapText="1"/>
    </xf>
    <xf numFmtId="164" fontId="18" fillId="0" borderId="2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164" fontId="18" fillId="0" borderId="10" xfId="0" applyNumberFormat="1" applyFont="1" applyBorder="1" applyAlignment="1">
      <alignment horizontal="right" vertical="center"/>
    </xf>
    <xf numFmtId="164" fontId="18" fillId="4" borderId="0" xfId="0" applyNumberFormat="1" applyFont="1" applyFill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3" fontId="21" fillId="0" borderId="8" xfId="0" applyNumberFormat="1" applyFont="1" applyBorder="1" applyAlignment="1">
      <alignment horizontal="right" vertical="center"/>
    </xf>
    <xf numFmtId="167" fontId="18" fillId="0" borderId="8" xfId="3" applyNumberFormat="1" applyFont="1" applyFill="1" applyBorder="1" applyAlignment="1">
      <alignment horizontal="right" vertical="center"/>
    </xf>
    <xf numFmtId="10" fontId="18" fillId="0" borderId="8" xfId="1" applyNumberFormat="1" applyFont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3" fontId="21" fillId="0" borderId="0" xfId="0" applyNumberFormat="1" applyFont="1" applyAlignment="1">
      <alignment horizontal="right"/>
    </xf>
    <xf numFmtId="3" fontId="18" fillId="4" borderId="8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/>
    </xf>
    <xf numFmtId="0" fontId="19" fillId="0" borderId="9" xfId="0" applyFont="1" applyBorder="1" applyAlignment="1">
      <alignment horizontal="left" wrapText="1"/>
    </xf>
    <xf numFmtId="3" fontId="21" fillId="0" borderId="9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164" fontId="18" fillId="0" borderId="9" xfId="0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8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right"/>
    </xf>
    <xf numFmtId="171" fontId="18" fillId="0" borderId="8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wrapText="1"/>
    </xf>
    <xf numFmtId="3" fontId="21" fillId="0" borderId="8" xfId="0" applyNumberFormat="1" applyFont="1" applyBorder="1" applyAlignment="1">
      <alignment horizontal="center"/>
    </xf>
    <xf numFmtId="3" fontId="21" fillId="0" borderId="8" xfId="0" applyNumberFormat="1" applyFont="1" applyBorder="1" applyAlignment="1">
      <alignment horizontal="center" vertical="center"/>
    </xf>
    <xf numFmtId="4" fontId="18" fillId="0" borderId="9" xfId="0" applyNumberFormat="1" applyFont="1" applyBorder="1" applyAlignment="1">
      <alignment horizontal="right" vertical="center"/>
    </xf>
    <xf numFmtId="164" fontId="18" fillId="4" borderId="9" xfId="0" applyNumberFormat="1" applyFont="1" applyFill="1" applyBorder="1" applyAlignment="1">
      <alignment horizontal="right" vertical="center"/>
    </xf>
    <xf numFmtId="3" fontId="22" fillId="0" borderId="9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4" fontId="18" fillId="4" borderId="8" xfId="0" applyNumberFormat="1" applyFont="1" applyFill="1" applyBorder="1" applyAlignment="1">
      <alignment horizontal="right" vertical="center"/>
    </xf>
    <xf numFmtId="4" fontId="18" fillId="4" borderId="8" xfId="0" applyNumberFormat="1" applyFont="1" applyFill="1" applyBorder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0" fontId="23" fillId="0" borderId="0" xfId="0" applyFont="1"/>
    <xf numFmtId="170" fontId="18" fillId="0" borderId="8" xfId="0" applyNumberFormat="1" applyFont="1" applyBorder="1" applyAlignment="1">
      <alignment horizontal="right" vertical="center"/>
    </xf>
    <xf numFmtId="4" fontId="21" fillId="0" borderId="8" xfId="0" applyNumberFormat="1" applyFont="1" applyBorder="1" applyAlignment="1">
      <alignment horizontal="right"/>
    </xf>
    <xf numFmtId="164" fontId="19" fillId="4" borderId="9" xfId="0" applyNumberFormat="1" applyFont="1" applyFill="1" applyBorder="1" applyAlignment="1">
      <alignment horizontal="right"/>
    </xf>
    <xf numFmtId="164" fontId="19" fillId="0" borderId="9" xfId="0" applyNumberFormat="1" applyFont="1" applyBorder="1" applyAlignment="1">
      <alignment horizontal="right"/>
    </xf>
    <xf numFmtId="0" fontId="18" fillId="0" borderId="11" xfId="0" applyFont="1" applyBorder="1" applyAlignment="1">
      <alignment horizontal="left" wrapText="1"/>
    </xf>
    <xf numFmtId="164" fontId="18" fillId="4" borderId="11" xfId="0" applyNumberFormat="1" applyFont="1" applyFill="1" applyBorder="1" applyAlignment="1">
      <alignment horizontal="right" vertical="center"/>
    </xf>
    <xf numFmtId="164" fontId="18" fillId="0" borderId="11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/>
    </xf>
    <xf numFmtId="0" fontId="20" fillId="0" borderId="5" xfId="0" applyFont="1" applyBorder="1" applyAlignment="1">
      <alignment horizontal="right"/>
    </xf>
    <xf numFmtId="9" fontId="18" fillId="4" borderId="8" xfId="1" applyFont="1" applyFill="1" applyBorder="1" applyAlignment="1">
      <alignment horizontal="right" vertical="center"/>
    </xf>
    <xf numFmtId="3" fontId="18" fillId="4" borderId="9" xfId="0" applyNumberFormat="1" applyFont="1" applyFill="1" applyBorder="1" applyAlignment="1">
      <alignment horizontal="right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left" wrapText="1"/>
    </xf>
    <xf numFmtId="3" fontId="17" fillId="0" borderId="4" xfId="0" applyNumberFormat="1" applyFont="1" applyBorder="1" applyAlignment="1">
      <alignment horizontal="right"/>
    </xf>
    <xf numFmtId="0" fontId="17" fillId="2" borderId="4" xfId="0" applyFont="1" applyFill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0" fontId="18" fillId="0" borderId="7" xfId="0" applyFont="1" applyBorder="1" applyAlignment="1">
      <alignment horizontal="left" wrapText="1"/>
    </xf>
    <xf numFmtId="3" fontId="18" fillId="0" borderId="7" xfId="0" applyNumberFormat="1" applyFont="1" applyBorder="1" applyAlignment="1">
      <alignment horizontal="right" vertical="center"/>
    </xf>
    <xf numFmtId="3" fontId="18" fillId="3" borderId="7" xfId="0" applyNumberFormat="1" applyFont="1" applyFill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/>
    </xf>
    <xf numFmtId="4" fontId="19" fillId="3" borderId="8" xfId="0" applyNumberFormat="1" applyFont="1" applyFill="1" applyBorder="1" applyAlignment="1">
      <alignment horizontal="right"/>
    </xf>
    <xf numFmtId="4" fontId="22" fillId="0" borderId="13" xfId="0" applyNumberFormat="1" applyFont="1" applyBorder="1" applyAlignment="1">
      <alignment horizontal="right" vertical="center"/>
    </xf>
    <xf numFmtId="4" fontId="18" fillId="3" borderId="7" xfId="0" applyNumberFormat="1" applyFont="1" applyFill="1" applyBorder="1" applyAlignment="1">
      <alignment horizontal="right" vertical="center"/>
    </xf>
    <xf numFmtId="4" fontId="24" fillId="0" borderId="13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top"/>
    </xf>
    <xf numFmtId="0" fontId="18" fillId="0" borderId="8" xfId="0" applyFont="1" applyBorder="1" applyAlignment="1">
      <alignment vertical="top" wrapText="1"/>
    </xf>
    <xf numFmtId="0" fontId="0" fillId="0" borderId="8" xfId="0" applyBorder="1"/>
    <xf numFmtId="2" fontId="18" fillId="0" borderId="9" xfId="1" applyNumberFormat="1" applyFont="1" applyBorder="1" applyAlignment="1">
      <alignment horizontal="right" vertical="center"/>
    </xf>
    <xf numFmtId="2" fontId="18" fillId="0" borderId="0" xfId="1" applyNumberFormat="1" applyFont="1" applyBorder="1" applyAlignment="1">
      <alignment horizontal="right" vertical="center"/>
    </xf>
    <xf numFmtId="2" fontId="18" fillId="0" borderId="8" xfId="1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 vertical="center"/>
    </xf>
    <xf numFmtId="2" fontId="19" fillId="0" borderId="8" xfId="1" applyNumberFormat="1" applyFont="1" applyBorder="1" applyAlignment="1">
      <alignment horizontal="right" vertical="center"/>
    </xf>
    <xf numFmtId="0" fontId="0" fillId="0" borderId="30" xfId="0" applyBorder="1"/>
    <xf numFmtId="0" fontId="18" fillId="0" borderId="18" xfId="0" applyFont="1" applyBorder="1" applyAlignment="1">
      <alignment horizontal="left" wrapText="1"/>
    </xf>
    <xf numFmtId="4" fontId="18" fillId="0" borderId="18" xfId="0" applyNumberFormat="1" applyFont="1" applyBorder="1" applyAlignment="1">
      <alignment horizontal="right" vertical="center"/>
    </xf>
    <xf numFmtId="167" fontId="18" fillId="0" borderId="20" xfId="3" applyNumberFormat="1" applyFont="1" applyFill="1" applyBorder="1" applyAlignment="1">
      <alignment vertical="center"/>
    </xf>
    <xf numFmtId="167" fontId="19" fillId="0" borderId="17" xfId="3" applyNumberFormat="1" applyFont="1" applyFill="1" applyBorder="1" applyAlignment="1">
      <alignment horizontal="center" vertical="center"/>
    </xf>
    <xf numFmtId="0" fontId="19" fillId="0" borderId="9" xfId="2" applyFont="1" applyBorder="1" applyAlignment="1">
      <alignment vertical="center"/>
    </xf>
    <xf numFmtId="0" fontId="19" fillId="0" borderId="11" xfId="2" applyFont="1" applyBorder="1" applyAlignment="1">
      <alignment vertical="center"/>
    </xf>
    <xf numFmtId="167" fontId="19" fillId="0" borderId="11" xfId="3" applyNumberFormat="1" applyFont="1" applyFill="1" applyBorder="1" applyAlignment="1">
      <alignment horizontal="right" vertical="center"/>
    </xf>
    <xf numFmtId="0" fontId="17" fillId="0" borderId="5" xfId="2" applyFont="1" applyBorder="1" applyAlignment="1">
      <alignment vertical="center"/>
    </xf>
    <xf numFmtId="168" fontId="19" fillId="0" borderId="4" xfId="3" applyNumberFormat="1" applyFont="1" applyFill="1" applyBorder="1" applyAlignment="1">
      <alignment horizontal="right" vertical="center"/>
    </xf>
    <xf numFmtId="0" fontId="19" fillId="0" borderId="16" xfId="2" applyFont="1" applyBorder="1" applyAlignment="1">
      <alignment vertical="center"/>
    </xf>
    <xf numFmtId="167" fontId="18" fillId="4" borderId="20" xfId="3" applyNumberFormat="1" applyFont="1" applyFill="1" applyBorder="1" applyAlignment="1">
      <alignment horizontal="right" vertical="center"/>
    </xf>
    <xf numFmtId="167" fontId="18" fillId="4" borderId="17" xfId="3" applyNumberFormat="1" applyFont="1" applyFill="1" applyBorder="1" applyAlignment="1">
      <alignment horizontal="right" vertical="center"/>
    </xf>
    <xf numFmtId="0" fontId="19" fillId="0" borderId="17" xfId="4" applyFont="1" applyBorder="1" applyAlignment="1">
      <alignment vertical="center"/>
    </xf>
    <xf numFmtId="167" fontId="19" fillId="0" borderId="17" xfId="5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horizontal="left" wrapText="1"/>
    </xf>
    <xf numFmtId="3" fontId="21" fillId="0" borderId="7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18" fillId="4" borderId="17" xfId="0" applyFont="1" applyFill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172" fontId="18" fillId="0" borderId="17" xfId="1" applyNumberFormat="1" applyFont="1" applyBorder="1" applyAlignment="1">
      <alignment horizontal="right" vertical="center"/>
    </xf>
    <xf numFmtId="172" fontId="18" fillId="0" borderId="17" xfId="0" applyNumberFormat="1" applyFont="1" applyBorder="1" applyAlignment="1">
      <alignment horizontal="right" vertical="center"/>
    </xf>
    <xf numFmtId="0" fontId="19" fillId="0" borderId="17" xfId="0" applyFont="1" applyBorder="1" applyAlignment="1">
      <alignment horizontal="left" wrapText="1"/>
    </xf>
    <xf numFmtId="3" fontId="21" fillId="0" borderId="17" xfId="0" applyNumberFormat="1" applyFont="1" applyBorder="1" applyAlignment="1">
      <alignment horizontal="right"/>
    </xf>
    <xf numFmtId="3" fontId="18" fillId="6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/>
    </xf>
    <xf numFmtId="0" fontId="18" fillId="6" borderId="10" xfId="0" applyFont="1" applyFill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/>
    </xf>
    <xf numFmtId="3" fontId="18" fillId="0" borderId="25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left" wrapText="1"/>
    </xf>
    <xf numFmtId="3" fontId="18" fillId="0" borderId="23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/>
    </xf>
    <xf numFmtId="0" fontId="18" fillId="0" borderId="20" xfId="0" applyFont="1" applyBorder="1" applyAlignment="1">
      <alignment horizontal="left" wrapText="1"/>
    </xf>
    <xf numFmtId="3" fontId="18" fillId="0" borderId="20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wrapText="1"/>
    </xf>
    <xf numFmtId="1" fontId="18" fillId="0" borderId="23" xfId="1" applyNumberFormat="1" applyFont="1" applyBorder="1" applyAlignment="1">
      <alignment horizontal="right" vertical="center"/>
    </xf>
    <xf numFmtId="4" fontId="18" fillId="0" borderId="23" xfId="0" applyNumberFormat="1" applyFont="1" applyBorder="1" applyAlignment="1">
      <alignment horizontal="right" vertical="center"/>
    </xf>
    <xf numFmtId="0" fontId="18" fillId="0" borderId="26" xfId="0" applyFont="1" applyBorder="1" applyAlignment="1">
      <alignment horizontal="left" wrapText="1"/>
    </xf>
    <xf numFmtId="4" fontId="18" fillId="0" borderId="26" xfId="0" applyNumberFormat="1" applyFont="1" applyBorder="1" applyAlignment="1">
      <alignment horizontal="right" vertical="center"/>
    </xf>
    <xf numFmtId="4" fontId="18" fillId="0" borderId="27" xfId="0" applyNumberFormat="1" applyFont="1" applyBorder="1" applyAlignment="1">
      <alignment horizontal="right" vertical="center"/>
    </xf>
    <xf numFmtId="0" fontId="0" fillId="0" borderId="14" xfId="0" applyBorder="1"/>
    <xf numFmtId="3" fontId="21" fillId="0" borderId="14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right" vertical="center"/>
    </xf>
    <xf numFmtId="164" fontId="18" fillId="0" borderId="20" xfId="0" applyNumberFormat="1" applyFont="1" applyBorder="1" applyAlignment="1">
      <alignment horizontal="right" vertical="center"/>
    </xf>
    <xf numFmtId="164" fontId="18" fillId="4" borderId="17" xfId="0" applyNumberFormat="1" applyFont="1" applyFill="1" applyBorder="1" applyAlignment="1">
      <alignment horizontal="right" vertical="center"/>
    </xf>
    <xf numFmtId="164" fontId="18" fillId="0" borderId="17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left"/>
    </xf>
    <xf numFmtId="164" fontId="18" fillId="0" borderId="5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lef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171" fontId="18" fillId="4" borderId="8" xfId="0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left" vertical="center" wrapText="1"/>
    </xf>
    <xf numFmtId="164" fontId="18" fillId="4" borderId="2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 wrapText="1"/>
    </xf>
    <xf numFmtId="3" fontId="17" fillId="0" borderId="5" xfId="0" applyNumberFormat="1" applyFont="1" applyBorder="1" applyAlignment="1">
      <alignment horizontal="right"/>
    </xf>
    <xf numFmtId="0" fontId="17" fillId="2" borderId="5" xfId="0" applyFont="1" applyFill="1" applyBorder="1" applyAlignment="1">
      <alignment horizontal="right"/>
    </xf>
    <xf numFmtId="3" fontId="18" fillId="3" borderId="8" xfId="0" applyNumberFormat="1" applyFont="1" applyFill="1" applyBorder="1" applyAlignment="1">
      <alignment horizontal="right" vertical="center"/>
    </xf>
    <xf numFmtId="4" fontId="19" fillId="3" borderId="8" xfId="0" applyNumberFormat="1" applyFont="1" applyFill="1" applyBorder="1" applyAlignment="1">
      <alignment horizontal="right" vertical="center"/>
    </xf>
    <xf numFmtId="4" fontId="18" fillId="3" borderId="8" xfId="0" applyNumberFormat="1" applyFont="1" applyFill="1" applyBorder="1" applyAlignment="1">
      <alignment horizontal="right" vertical="center"/>
    </xf>
    <xf numFmtId="4" fontId="18" fillId="3" borderId="0" xfId="0" applyNumberFormat="1" applyFont="1" applyFill="1" applyAlignment="1">
      <alignment horizontal="right" vertical="center"/>
    </xf>
    <xf numFmtId="0" fontId="18" fillId="0" borderId="30" xfId="0" applyFont="1" applyBorder="1" applyAlignment="1">
      <alignment horizontal="left" wrapText="1"/>
    </xf>
    <xf numFmtId="0" fontId="16" fillId="5" borderId="5" xfId="0" applyFont="1" applyFill="1" applyBorder="1" applyAlignment="1">
      <alignment vertical="center" wrapText="1"/>
    </xf>
    <xf numFmtId="0" fontId="19" fillId="0" borderId="7" xfId="2" applyFont="1" applyBorder="1" applyAlignment="1">
      <alignment vertical="center"/>
    </xf>
    <xf numFmtId="167" fontId="19" fillId="0" borderId="9" xfId="3" applyNumberFormat="1" applyFont="1" applyFill="1" applyBorder="1" applyAlignment="1">
      <alignment horizontal="center" vertical="center"/>
    </xf>
    <xf numFmtId="167" fontId="19" fillId="0" borderId="9" xfId="3" applyNumberFormat="1" applyFont="1" applyFill="1" applyBorder="1" applyAlignment="1">
      <alignment vertical="center"/>
    </xf>
    <xf numFmtId="0" fontId="18" fillId="0" borderId="8" xfId="2" applyFont="1" applyBorder="1" applyAlignment="1">
      <alignment horizontal="left" vertical="center" indent="1"/>
    </xf>
    <xf numFmtId="167" fontId="18" fillId="0" borderId="8" xfId="3" applyNumberFormat="1" applyFont="1" applyFill="1" applyBorder="1" applyAlignment="1">
      <alignment horizontal="center" vertical="center"/>
    </xf>
    <xf numFmtId="167" fontId="18" fillId="0" borderId="8" xfId="3" applyNumberFormat="1" applyFont="1" applyFill="1" applyBorder="1" applyAlignment="1">
      <alignment vertical="center"/>
    </xf>
    <xf numFmtId="167" fontId="18" fillId="4" borderId="8" xfId="3" applyNumberFormat="1" applyFont="1" applyFill="1" applyBorder="1" applyAlignment="1">
      <alignment horizontal="center" vertical="center"/>
    </xf>
    <xf numFmtId="0" fontId="19" fillId="0" borderId="8" xfId="2" applyFont="1" applyBorder="1" applyAlignment="1">
      <alignment vertical="center"/>
    </xf>
    <xf numFmtId="167" fontId="19" fillId="0" borderId="8" xfId="3" applyNumberFormat="1" applyFont="1" applyFill="1" applyBorder="1" applyAlignment="1">
      <alignment horizontal="center" vertical="center"/>
    </xf>
    <xf numFmtId="167" fontId="19" fillId="0" borderId="8" xfId="3" applyNumberFormat="1" applyFont="1" applyFill="1" applyBorder="1" applyAlignment="1">
      <alignment vertical="center"/>
    </xf>
    <xf numFmtId="167" fontId="19" fillId="0" borderId="8" xfId="3" applyNumberFormat="1" applyFont="1" applyFill="1" applyBorder="1" applyAlignment="1">
      <alignment horizontal="right" vertical="center"/>
    </xf>
    <xf numFmtId="167" fontId="19" fillId="0" borderId="11" xfId="3" applyNumberFormat="1" applyFont="1" applyFill="1" applyBorder="1" applyAlignment="1">
      <alignment horizontal="center" vertical="center"/>
    </xf>
    <xf numFmtId="167" fontId="19" fillId="0" borderId="11" xfId="3" applyNumberFormat="1" applyFont="1" applyFill="1" applyBorder="1" applyAlignment="1">
      <alignment vertical="center"/>
    </xf>
    <xf numFmtId="168" fontId="19" fillId="0" borderId="5" xfId="3" applyNumberFormat="1" applyFont="1" applyFill="1" applyBorder="1" applyAlignment="1">
      <alignment horizontal="center" vertical="center"/>
    </xf>
    <xf numFmtId="168" fontId="19" fillId="0" borderId="5" xfId="3" applyNumberFormat="1" applyFont="1" applyFill="1" applyBorder="1" applyAlignment="1">
      <alignment vertical="center"/>
    </xf>
    <xf numFmtId="168" fontId="19" fillId="0" borderId="7" xfId="3" applyNumberFormat="1" applyFont="1" applyFill="1" applyBorder="1" applyAlignment="1">
      <alignment horizontal="center" vertical="center"/>
    </xf>
    <xf numFmtId="168" fontId="19" fillId="0" borderId="7" xfId="3" applyNumberFormat="1" applyFont="1" applyFill="1" applyBorder="1" applyAlignment="1">
      <alignment vertical="center"/>
    </xf>
    <xf numFmtId="168" fontId="19" fillId="0" borderId="8" xfId="3" applyNumberFormat="1" applyFont="1" applyFill="1" applyBorder="1" applyAlignment="1">
      <alignment horizontal="center" vertical="center"/>
    </xf>
    <xf numFmtId="168" fontId="19" fillId="0" borderId="8" xfId="3" applyNumberFormat="1" applyFont="1" applyFill="1" applyBorder="1" applyAlignment="1">
      <alignment vertical="center"/>
    </xf>
    <xf numFmtId="167" fontId="18" fillId="4" borderId="8" xfId="3" applyNumberFormat="1" applyFont="1" applyFill="1" applyBorder="1" applyAlignment="1">
      <alignment vertical="center"/>
    </xf>
    <xf numFmtId="172" fontId="0" fillId="0" borderId="0" xfId="0" applyNumberFormat="1"/>
    <xf numFmtId="0" fontId="19" fillId="0" borderId="9" xfId="4" applyFont="1" applyBorder="1" applyAlignment="1">
      <alignment vertical="center"/>
    </xf>
    <xf numFmtId="167" fontId="19" fillId="0" borderId="9" xfId="5" applyNumberFormat="1" applyFont="1" applyFill="1" applyBorder="1" applyAlignment="1">
      <alignment horizontal="center" vertical="center"/>
    </xf>
    <xf numFmtId="167" fontId="19" fillId="0" borderId="9" xfId="5" applyNumberFormat="1" applyFont="1" applyFill="1" applyBorder="1" applyAlignment="1">
      <alignment vertical="center"/>
    </xf>
    <xf numFmtId="167" fontId="19" fillId="4" borderId="9" xfId="5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left" wrapText="1"/>
    </xf>
    <xf numFmtId="172" fontId="18" fillId="0" borderId="8" xfId="1" applyNumberFormat="1" applyFont="1" applyBorder="1" applyAlignment="1">
      <alignment horizontal="right" vertical="center"/>
    </xf>
    <xf numFmtId="172" fontId="18" fillId="0" borderId="0" xfId="1" applyNumberFormat="1" applyFont="1" applyBorder="1" applyAlignment="1">
      <alignment horizontal="right" vertical="center"/>
    </xf>
    <xf numFmtId="172" fontId="18" fillId="0" borderId="8" xfId="1" applyNumberFormat="1" applyFont="1" applyFill="1" applyBorder="1" applyAlignment="1">
      <alignment horizontal="right" vertical="center"/>
    </xf>
    <xf numFmtId="1" fontId="18" fillId="0" borderId="8" xfId="0" applyNumberFormat="1" applyFont="1" applyBorder="1" applyAlignment="1">
      <alignment horizontal="right" vertical="center"/>
    </xf>
    <xf numFmtId="1" fontId="18" fillId="0" borderId="8" xfId="1" applyNumberFormat="1" applyFont="1" applyBorder="1" applyAlignment="1">
      <alignment horizontal="right" vertical="center"/>
    </xf>
    <xf numFmtId="3" fontId="18" fillId="7" borderId="1" xfId="0" applyNumberFormat="1" applyFont="1" applyFill="1" applyBorder="1" applyAlignment="1">
      <alignment horizontal="right" vertical="center"/>
    </xf>
    <xf numFmtId="0" fontId="18" fillId="7" borderId="10" xfId="0" applyFont="1" applyFill="1" applyBorder="1" applyAlignment="1">
      <alignment horizontal="right" vertical="center"/>
    </xf>
    <xf numFmtId="3" fontId="25" fillId="0" borderId="8" xfId="0" applyNumberFormat="1" applyFont="1" applyBorder="1" applyAlignment="1">
      <alignment horizontal="right"/>
    </xf>
    <xf numFmtId="0" fontId="0" fillId="0" borderId="0" xfId="0" applyAlignment="1">
      <alignment wrapText="1"/>
    </xf>
    <xf numFmtId="164" fontId="18" fillId="0" borderId="5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right" vertical="center"/>
    </xf>
    <xf numFmtId="171" fontId="18" fillId="4" borderId="18" xfId="0" applyNumberFormat="1" applyFont="1" applyFill="1" applyBorder="1" applyAlignment="1">
      <alignment horizontal="right" vertical="center"/>
    </xf>
    <xf numFmtId="171" fontId="18" fillId="0" borderId="18" xfId="0" applyNumberFormat="1" applyFont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/>
    </xf>
    <xf numFmtId="0" fontId="19" fillId="0" borderId="18" xfId="0" applyFont="1" applyBorder="1" applyAlignment="1">
      <alignment horizontal="left" wrapText="1"/>
    </xf>
    <xf numFmtId="3" fontId="19" fillId="0" borderId="18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 vertical="center"/>
    </xf>
    <xf numFmtId="4" fontId="18" fillId="4" borderId="18" xfId="0" applyNumberFormat="1" applyFont="1" applyFill="1" applyBorder="1" applyAlignment="1">
      <alignment horizontal="right" vertical="center"/>
    </xf>
    <xf numFmtId="4" fontId="19" fillId="0" borderId="9" xfId="0" applyNumberFormat="1" applyFont="1" applyBorder="1" applyAlignment="1">
      <alignment horizontal="right"/>
    </xf>
    <xf numFmtId="4" fontId="21" fillId="0" borderId="9" xfId="0" applyNumberFormat="1" applyFont="1" applyBorder="1" applyAlignment="1">
      <alignment horizontal="right"/>
    </xf>
    <xf numFmtId="173" fontId="18" fillId="0" borderId="18" xfId="3" applyNumberFormat="1" applyFont="1" applyFill="1" applyBorder="1" applyAlignment="1">
      <alignment horizontal="center" vertical="center"/>
    </xf>
    <xf numFmtId="170" fontId="18" fillId="0" borderId="18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 wrapText="1"/>
    </xf>
    <xf numFmtId="3" fontId="17" fillId="0" borderId="4" xfId="0" applyNumberFormat="1" applyFont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6" xfId="0" applyFont="1" applyBorder="1" applyAlignment="1">
      <alignment vertical="top" wrapText="1"/>
    </xf>
    <xf numFmtId="2" fontId="18" fillId="0" borderId="18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2" fontId="18" fillId="0" borderId="9" xfId="0" applyNumberFormat="1" applyFont="1" applyBorder="1" applyAlignment="1">
      <alignment horizontal="right" vertical="center"/>
    </xf>
    <xf numFmtId="2" fontId="18" fillId="0" borderId="8" xfId="0" applyNumberFormat="1" applyFont="1" applyBorder="1" applyAlignment="1">
      <alignment horizontal="right" vertical="center"/>
    </xf>
    <xf numFmtId="167" fontId="26" fillId="0" borderId="0" xfId="3" applyNumberFormat="1" applyFont="1" applyFill="1" applyBorder="1" applyAlignment="1">
      <alignment horizontal="right" vertical="center"/>
    </xf>
    <xf numFmtId="2" fontId="18" fillId="4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7" fontId="19" fillId="0" borderId="9" xfId="3" applyNumberFormat="1" applyFont="1" applyFill="1" applyBorder="1" applyAlignment="1">
      <alignment horizontal="right"/>
    </xf>
    <xf numFmtId="168" fontId="26" fillId="0" borderId="0" xfId="3" applyNumberFormat="1" applyFont="1" applyFill="1" applyBorder="1" applyAlignment="1">
      <alignment vertical="center"/>
    </xf>
    <xf numFmtId="167" fontId="18" fillId="0" borderId="8" xfId="3" applyNumberFormat="1" applyFont="1" applyFill="1" applyBorder="1" applyAlignment="1">
      <alignment horizontal="right"/>
    </xf>
    <xf numFmtId="167" fontId="18" fillId="4" borderId="8" xfId="3" applyNumberFormat="1" applyFont="1" applyFill="1" applyBorder="1" applyAlignment="1">
      <alignment horizontal="right" vertical="center"/>
    </xf>
    <xf numFmtId="167" fontId="27" fillId="0" borderId="0" xfId="3" applyNumberFormat="1" applyFont="1" applyFill="1" applyBorder="1"/>
    <xf numFmtId="167" fontId="28" fillId="0" borderId="0" xfId="3" applyNumberFormat="1" applyFont="1" applyFill="1" applyBorder="1" applyAlignment="1">
      <alignment horizontal="right" vertical="center"/>
    </xf>
    <xf numFmtId="0" fontId="19" fillId="0" borderId="8" xfId="4" applyFont="1" applyBorder="1" applyAlignment="1">
      <alignment vertical="center"/>
    </xf>
    <xf numFmtId="167" fontId="19" fillId="0" borderId="8" xfId="5" applyNumberFormat="1" applyFont="1" applyFill="1" applyBorder="1" applyAlignment="1">
      <alignment vertical="center"/>
    </xf>
    <xf numFmtId="0" fontId="18" fillId="0" borderId="6" xfId="0" applyFont="1" applyBorder="1" applyAlignment="1">
      <alignment horizontal="left" wrapText="1"/>
    </xf>
    <xf numFmtId="0" fontId="18" fillId="0" borderId="6" xfId="0" applyFont="1" applyBorder="1" applyAlignment="1">
      <alignment horizontal="right" vertical="center"/>
    </xf>
    <xf numFmtId="0" fontId="19" fillId="0" borderId="1" xfId="0" applyFont="1" applyBorder="1" applyAlignment="1">
      <alignment horizontal="left" wrapText="1"/>
    </xf>
    <xf numFmtId="3" fontId="21" fillId="0" borderId="1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18" fillId="6" borderId="10" xfId="0" applyNumberFormat="1" applyFont="1" applyFill="1" applyBorder="1" applyAlignment="1">
      <alignment horizontal="right" vertical="center"/>
    </xf>
    <xf numFmtId="0" fontId="18" fillId="0" borderId="0" xfId="1" applyNumberFormat="1" applyFont="1" applyBorder="1" applyAlignment="1">
      <alignment horizontal="right" vertical="center"/>
    </xf>
    <xf numFmtId="4" fontId="18" fillId="0" borderId="6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right"/>
    </xf>
    <xf numFmtId="3" fontId="25" fillId="0" borderId="9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4" fontId="22" fillId="0" borderId="18" xfId="0" applyNumberFormat="1" applyFont="1" applyBorder="1" applyAlignment="1">
      <alignment horizontal="right"/>
    </xf>
    <xf numFmtId="4" fontId="25" fillId="0" borderId="18" xfId="0" applyNumberFormat="1" applyFont="1" applyBorder="1" applyAlignment="1">
      <alignment horizontal="right"/>
    </xf>
    <xf numFmtId="170" fontId="18" fillId="4" borderId="18" xfId="3" applyNumberFormat="1" applyFont="1" applyFill="1" applyBorder="1" applyAlignment="1">
      <alignment horizontal="right" vertical="center"/>
    </xf>
    <xf numFmtId="4" fontId="21" fillId="0" borderId="18" xfId="0" applyNumberFormat="1" applyFont="1" applyBorder="1" applyAlignment="1">
      <alignment horizontal="right"/>
    </xf>
    <xf numFmtId="164" fontId="19" fillId="0" borderId="17" xfId="0" applyNumberFormat="1" applyFont="1" applyBorder="1" applyAlignment="1">
      <alignment horizontal="right"/>
    </xf>
    <xf numFmtId="164" fontId="18" fillId="0" borderId="18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/>
    </xf>
    <xf numFmtId="0" fontId="18" fillId="0" borderId="3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7" fontId="0" fillId="0" borderId="0" xfId="0" applyNumberFormat="1"/>
    <xf numFmtId="3" fontId="0" fillId="0" borderId="0" xfId="0" applyNumberFormat="1"/>
    <xf numFmtId="0" fontId="13" fillId="0" borderId="0" xfId="0" applyFont="1"/>
    <xf numFmtId="4" fontId="18" fillId="0" borderId="16" xfId="0" applyNumberFormat="1" applyFont="1" applyBorder="1" applyAlignment="1">
      <alignment vertical="center"/>
    </xf>
    <xf numFmtId="4" fontId="18" fillId="0" borderId="17" xfId="0" applyNumberFormat="1" applyFont="1" applyBorder="1" applyAlignment="1">
      <alignment vertical="center"/>
    </xf>
    <xf numFmtId="2" fontId="30" fillId="0" borderId="0" xfId="0" applyNumberFormat="1" applyFont="1"/>
    <xf numFmtId="0" fontId="16" fillId="5" borderId="17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vertical="center" wrapText="1"/>
    </xf>
    <xf numFmtId="167" fontId="19" fillId="0" borderId="17" xfId="3" applyNumberFormat="1" applyFont="1" applyFill="1" applyBorder="1" applyAlignment="1">
      <alignment vertical="center"/>
    </xf>
    <xf numFmtId="0" fontId="19" fillId="0" borderId="20" xfId="2" applyFont="1" applyBorder="1" applyAlignment="1">
      <alignment vertical="center"/>
    </xf>
    <xf numFmtId="167" fontId="19" fillId="0" borderId="20" xfId="3" applyNumberFormat="1" applyFont="1" applyFill="1" applyBorder="1" applyAlignment="1">
      <alignment horizontal="right" vertical="center"/>
    </xf>
    <xf numFmtId="167" fontId="19" fillId="0" borderId="20" xfId="3" applyNumberFormat="1" applyFont="1" applyFill="1" applyBorder="1" applyAlignment="1">
      <alignment vertical="center"/>
    </xf>
    <xf numFmtId="0" fontId="19" fillId="0" borderId="5" xfId="2" applyFont="1" applyBorder="1" applyAlignment="1">
      <alignment vertical="center"/>
    </xf>
    <xf numFmtId="167" fontId="19" fillId="0" borderId="5" xfId="3" applyNumberFormat="1" applyFont="1" applyFill="1" applyBorder="1" applyAlignment="1">
      <alignment horizontal="right" vertical="center"/>
    </xf>
    <xf numFmtId="167" fontId="19" fillId="0" borderId="5" xfId="3" applyNumberFormat="1" applyFont="1" applyFill="1" applyBorder="1" applyAlignment="1">
      <alignment vertical="center"/>
    </xf>
    <xf numFmtId="0" fontId="17" fillId="0" borderId="0" xfId="2" applyFont="1" applyAlignment="1">
      <alignment vertical="center"/>
    </xf>
    <xf numFmtId="168" fontId="19" fillId="0" borderId="0" xfId="3" applyNumberFormat="1" applyFont="1" applyFill="1" applyBorder="1" applyAlignment="1">
      <alignment horizontal="right" vertical="center"/>
    </xf>
    <xf numFmtId="168" fontId="19" fillId="0" borderId="0" xfId="3" applyNumberFormat="1" applyFont="1" applyFill="1" applyBorder="1" applyAlignment="1">
      <alignment vertical="center"/>
    </xf>
    <xf numFmtId="168" fontId="19" fillId="0" borderId="8" xfId="3" applyNumberFormat="1" applyFont="1" applyFill="1" applyBorder="1" applyAlignment="1">
      <alignment horizontal="right" vertical="center"/>
    </xf>
    <xf numFmtId="168" fontId="19" fillId="0" borderId="20" xfId="3" applyNumberFormat="1" applyFont="1" applyFill="1" applyBorder="1" applyAlignment="1">
      <alignment vertical="center"/>
    </xf>
    <xf numFmtId="167" fontId="18" fillId="0" borderId="9" xfId="3" applyNumberFormat="1" applyFont="1" applyFill="1" applyBorder="1" applyAlignment="1">
      <alignment vertical="center"/>
    </xf>
    <xf numFmtId="0" fontId="19" fillId="0" borderId="20" xfId="4" applyFont="1" applyBorder="1" applyAlignment="1">
      <alignment vertical="center"/>
    </xf>
    <xf numFmtId="167" fontId="19" fillId="0" borderId="20" xfId="5" applyNumberFormat="1" applyFont="1" applyFill="1" applyBorder="1" applyAlignment="1">
      <alignment horizontal="right" vertical="center"/>
    </xf>
    <xf numFmtId="167" fontId="19" fillId="0" borderId="20" xfId="5" applyNumberFormat="1" applyFont="1" applyFill="1" applyBorder="1" applyAlignment="1">
      <alignment vertical="center"/>
    </xf>
    <xf numFmtId="0" fontId="20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172" fontId="18" fillId="0" borderId="8" xfId="0" applyNumberFormat="1" applyFont="1" applyBorder="1" applyAlignment="1">
      <alignment vertical="center"/>
    </xf>
    <xf numFmtId="2" fontId="0" fillId="0" borderId="0" xfId="0" applyNumberFormat="1"/>
    <xf numFmtId="0" fontId="18" fillId="0" borderId="8" xfId="0" applyFont="1" applyBorder="1" applyAlignment="1">
      <alignment wrapText="1"/>
    </xf>
    <xf numFmtId="172" fontId="18" fillId="0" borderId="0" xfId="0" applyNumberFormat="1" applyFont="1" applyAlignment="1">
      <alignment vertical="center"/>
    </xf>
    <xf numFmtId="0" fontId="18" fillId="0" borderId="8" xfId="0" applyFont="1" applyBorder="1" applyAlignment="1">
      <alignment horizontal="right" wrapText="1"/>
    </xf>
    <xf numFmtId="3" fontId="21" fillId="0" borderId="8" xfId="0" applyNumberFormat="1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0" borderId="0" xfId="1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vertical="center"/>
    </xf>
    <xf numFmtId="4" fontId="18" fillId="6" borderId="8" xfId="0" applyNumberFormat="1" applyFont="1" applyFill="1" applyBorder="1" applyAlignment="1">
      <alignment horizontal="right" vertical="center"/>
    </xf>
    <xf numFmtId="4" fontId="18" fillId="4" borderId="8" xfId="0" applyNumberFormat="1" applyFont="1" applyFill="1" applyBorder="1" applyAlignment="1">
      <alignment vertical="center"/>
    </xf>
    <xf numFmtId="3" fontId="21" fillId="0" borderId="8" xfId="0" applyNumberFormat="1" applyFont="1" applyBorder="1"/>
    <xf numFmtId="164" fontId="18" fillId="0" borderId="8" xfId="0" applyNumberFormat="1" applyFont="1" applyBorder="1" applyAlignment="1">
      <alignment vertical="center"/>
    </xf>
    <xf numFmtId="164" fontId="18" fillId="0" borderId="9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3" fontId="21" fillId="0" borderId="6" xfId="0" applyNumberFormat="1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/>
    </xf>
    <xf numFmtId="10" fontId="18" fillId="0" borderId="8" xfId="1" applyNumberFormat="1" applyFont="1" applyBorder="1" applyAlignment="1">
      <alignment vertical="center"/>
    </xf>
    <xf numFmtId="3" fontId="21" fillId="0" borderId="0" xfId="0" applyNumberFormat="1" applyFont="1"/>
    <xf numFmtId="0" fontId="20" fillId="0" borderId="4" xfId="0" applyFont="1" applyBorder="1"/>
    <xf numFmtId="3" fontId="21" fillId="0" borderId="9" xfId="0" applyNumberFormat="1" applyFont="1" applyBorder="1"/>
    <xf numFmtId="0" fontId="19" fillId="0" borderId="9" xfId="0" applyFont="1" applyBorder="1"/>
    <xf numFmtId="2" fontId="19" fillId="0" borderId="9" xfId="0" applyNumberFormat="1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7" fillId="0" borderId="4" xfId="0" applyFont="1" applyBorder="1" applyAlignment="1">
      <alignment horizontal="center"/>
    </xf>
    <xf numFmtId="3" fontId="21" fillId="0" borderId="9" xfId="0" applyNumberFormat="1" applyFont="1" applyBorder="1" applyAlignment="1">
      <alignment horizontal="center"/>
    </xf>
    <xf numFmtId="3" fontId="21" fillId="0" borderId="9" xfId="0" applyNumberFormat="1" applyFont="1" applyBorder="1" applyAlignment="1">
      <alignment horizontal="center" vertical="center"/>
    </xf>
    <xf numFmtId="4" fontId="21" fillId="0" borderId="8" xfId="0" applyNumberFormat="1" applyFont="1" applyBorder="1"/>
    <xf numFmtId="4" fontId="21" fillId="0" borderId="8" xfId="0" applyNumberFormat="1" applyFont="1" applyBorder="1" applyAlignment="1">
      <alignment vertical="center"/>
    </xf>
    <xf numFmtId="3" fontId="22" fillId="0" borderId="9" xfId="0" applyNumberFormat="1" applyFont="1" applyBorder="1"/>
    <xf numFmtId="3" fontId="22" fillId="0" borderId="9" xfId="0" applyNumberFormat="1" applyFont="1" applyBorder="1" applyAlignment="1">
      <alignment vertical="center"/>
    </xf>
    <xf numFmtId="3" fontId="22" fillId="0" borderId="8" xfId="0" applyNumberFormat="1" applyFont="1" applyBorder="1"/>
    <xf numFmtId="3" fontId="22" fillId="0" borderId="8" xfId="0" applyNumberFormat="1" applyFont="1" applyBorder="1" applyAlignment="1">
      <alignment vertical="center"/>
    </xf>
    <xf numFmtId="165" fontId="18" fillId="4" borderId="8" xfId="0" applyNumberFormat="1" applyFont="1" applyFill="1" applyBorder="1" applyAlignment="1">
      <alignment horizontal="right" vertical="center"/>
    </xf>
    <xf numFmtId="165" fontId="18" fillId="0" borderId="8" xfId="0" applyNumberFormat="1" applyFont="1" applyBorder="1" applyAlignment="1">
      <alignment horizontal="right" vertical="center"/>
    </xf>
    <xf numFmtId="164" fontId="19" fillId="0" borderId="9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center"/>
    </xf>
    <xf numFmtId="0" fontId="18" fillId="0" borderId="8" xfId="0" applyFont="1" applyBorder="1" applyAlignment="1">
      <alignment vertical="top"/>
    </xf>
    <xf numFmtId="0" fontId="18" fillId="0" borderId="20" xfId="0" applyFont="1" applyBorder="1" applyAlignment="1">
      <alignment horizontal="left" vertical="center" wrapText="1"/>
    </xf>
    <xf numFmtId="0" fontId="19" fillId="0" borderId="34" xfId="2" applyFont="1" applyBorder="1" applyAlignment="1">
      <alignment vertical="center"/>
    </xf>
    <xf numFmtId="168" fontId="19" fillId="0" borderId="34" xfId="3" applyNumberFormat="1" applyFont="1" applyFill="1" applyBorder="1" applyAlignment="1">
      <alignment horizontal="right" vertical="center"/>
    </xf>
    <xf numFmtId="168" fontId="19" fillId="0" borderId="34" xfId="3" applyNumberFormat="1" applyFont="1" applyFill="1" applyBorder="1" applyAlignment="1">
      <alignment vertical="center"/>
    </xf>
    <xf numFmtId="0" fontId="18" fillId="0" borderId="17" xfId="2" applyFont="1" applyBorder="1" applyAlignment="1">
      <alignment vertical="center"/>
    </xf>
    <xf numFmtId="0" fontId="19" fillId="0" borderId="25" xfId="2" applyFont="1" applyBorder="1" applyAlignment="1">
      <alignment vertical="center"/>
    </xf>
    <xf numFmtId="0" fontId="19" fillId="0" borderId="2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167" fontId="18" fillId="0" borderId="25" xfId="3" applyNumberFormat="1" applyFont="1" applyFill="1" applyBorder="1" applyAlignment="1">
      <alignment horizontal="right" vertical="center"/>
    </xf>
    <xf numFmtId="167" fontId="18" fillId="0" borderId="25" xfId="3" applyNumberFormat="1" applyFont="1" applyFill="1" applyBorder="1" applyAlignment="1">
      <alignment vertical="center"/>
    </xf>
    <xf numFmtId="167" fontId="19" fillId="0" borderId="1" xfId="3" applyNumberFormat="1" applyFont="1" applyFill="1" applyBorder="1" applyAlignment="1">
      <alignment horizontal="right" vertical="center"/>
    </xf>
    <xf numFmtId="167" fontId="19" fillId="0" borderId="1" xfId="3" applyNumberFormat="1" applyFont="1" applyFill="1" applyBorder="1" applyAlignment="1">
      <alignment vertical="center"/>
    </xf>
    <xf numFmtId="0" fontId="18" fillId="0" borderId="25" xfId="0" applyFont="1" applyBorder="1" applyAlignment="1">
      <alignment horizontal="left" wrapText="1"/>
    </xf>
    <xf numFmtId="4" fontId="19" fillId="3" borderId="7" xfId="0" applyNumberFormat="1" applyFont="1" applyFill="1" applyBorder="1" applyAlignment="1">
      <alignment horizontal="right" vertical="center"/>
    </xf>
    <xf numFmtId="2" fontId="18" fillId="0" borderId="7" xfId="1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3" fontId="18" fillId="3" borderId="16" xfId="0" applyNumberFormat="1" applyFont="1" applyFill="1" applyBorder="1" applyAlignment="1">
      <alignment horizontal="right" vertical="center"/>
    </xf>
    <xf numFmtId="3" fontId="18" fillId="3" borderId="18" xfId="0" applyNumberFormat="1" applyFont="1" applyFill="1" applyBorder="1" applyAlignment="1">
      <alignment horizontal="right" vertical="center"/>
    </xf>
    <xf numFmtId="4" fontId="19" fillId="0" borderId="18" xfId="0" applyNumberFormat="1" applyFont="1" applyBorder="1" applyAlignment="1">
      <alignment horizontal="right" vertical="center"/>
    </xf>
    <xf numFmtId="4" fontId="19" fillId="3" borderId="18" xfId="0" applyNumberFormat="1" applyFont="1" applyFill="1" applyBorder="1" applyAlignment="1">
      <alignment horizontal="right" vertical="center"/>
    </xf>
    <xf numFmtId="4" fontId="18" fillId="3" borderId="18" xfId="0" applyNumberFormat="1" applyFont="1" applyFill="1" applyBorder="1" applyAlignment="1">
      <alignment horizontal="right" vertical="center"/>
    </xf>
    <xf numFmtId="4" fontId="18" fillId="3" borderId="9" xfId="0" applyNumberFormat="1" applyFont="1" applyFill="1" applyBorder="1" applyAlignment="1">
      <alignment horizontal="right" vertical="center"/>
    </xf>
    <xf numFmtId="4" fontId="18" fillId="3" borderId="20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right" wrapText="1"/>
    </xf>
    <xf numFmtId="0" fontId="17" fillId="0" borderId="33" xfId="0" applyFont="1" applyBorder="1" applyAlignment="1">
      <alignment horizontal="right" wrapText="1"/>
    </xf>
    <xf numFmtId="4" fontId="18" fillId="0" borderId="32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/>
    </xf>
    <xf numFmtId="0" fontId="19" fillId="0" borderId="6" xfId="0" applyFont="1" applyBorder="1" applyAlignment="1">
      <alignment horizontal="left" wrapText="1"/>
    </xf>
    <xf numFmtId="0" fontId="18" fillId="0" borderId="12" xfId="0" applyFont="1" applyBorder="1" applyAlignment="1">
      <alignment vertical="top" wrapText="1"/>
    </xf>
    <xf numFmtId="4" fontId="19" fillId="0" borderId="6" xfId="0" applyNumberFormat="1" applyFont="1" applyBorder="1" applyAlignment="1">
      <alignment horizontal="right" vertical="center"/>
    </xf>
    <xf numFmtId="2" fontId="19" fillId="0" borderId="6" xfId="1" applyNumberFormat="1" applyFont="1" applyBorder="1" applyAlignment="1">
      <alignment horizontal="right" vertical="center"/>
    </xf>
    <xf numFmtId="0" fontId="0" fillId="0" borderId="12" xfId="0" applyBorder="1"/>
    <xf numFmtId="0" fontId="19" fillId="0" borderId="35" xfId="0" applyFont="1" applyBorder="1" applyAlignment="1">
      <alignment horizontal="left" wrapText="1"/>
    </xf>
    <xf numFmtId="4" fontId="19" fillId="0" borderId="3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6" fillId="5" borderId="0" xfId="0" applyFont="1" applyFill="1" applyAlignment="1">
      <alignment horizontal="right" vertical="center" wrapText="1"/>
    </xf>
    <xf numFmtId="0" fontId="17" fillId="0" borderId="5" xfId="0" applyFont="1" applyBorder="1" applyAlignment="1">
      <alignment horizontal="left" wrapText="1"/>
    </xf>
    <xf numFmtId="0" fontId="17" fillId="0" borderId="4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20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0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8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wrapText="1"/>
    </xf>
    <xf numFmtId="0" fontId="18" fillId="0" borderId="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right" vertical="center" wrapText="1"/>
    </xf>
  </cellXfs>
  <cellStyles count="8">
    <cellStyle name="Normal" xfId="0" builtinId="0"/>
    <cellStyle name="Normal 10 2 168" xfId="4" xr:uid="{5D41E787-BA50-436D-9DE7-09FD6D31B5C4}"/>
    <cellStyle name="Normal 2 10 2 2 3" xfId="2" xr:uid="{ECCD1E8D-96BA-4122-946D-CCC03789028A}"/>
    <cellStyle name="Normal 2 10 5" xfId="6" xr:uid="{796692D2-8765-4B7A-B187-A28A2D19B5E6}"/>
    <cellStyle name="Normal 3" xfId="7" xr:uid="{0B5FAF8A-5341-41EA-90C4-5F93FB89CFFA}"/>
    <cellStyle name="Porcentagem" xfId="1" builtinId="5"/>
    <cellStyle name="Vírgula 12 2 6" xfId="3" xr:uid="{D79DD6F5-D0B3-47AE-993C-13AE6236FFB6}"/>
    <cellStyle name="Vírgula 2 3" xfId="5" xr:uid="{6BCCB76C-D306-41F9-88C7-CC80CB270D05}"/>
  </cellStyles>
  <dxfs count="0"/>
  <tableStyles count="0" defaultTableStyle="TableStyleMedium2" defaultPivotStyle="PivotStyleLight16"/>
  <colors>
    <mruColors>
      <color rgb="FF3EB4E4"/>
      <color rgb="FF636466"/>
      <color rgb="FF124680"/>
      <color rgb="FF005BAC"/>
      <color rgb="FFC6D5FE"/>
      <color rgb="FF1E74BB"/>
      <color rgb="FF0538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2445483</xdr:colOff>
      <xdr:row>4</xdr:row>
      <xdr:rowOff>25400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F838DB6-5AC7-42E8-A5C8-D82206DA7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899" b="53725"/>
        <a:stretch/>
      </xdr:blipFill>
      <xdr:spPr>
        <a:xfrm>
          <a:off x="0" y="0"/>
          <a:ext cx="2442308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2935431</xdr:colOff>
      <xdr:row>0</xdr:row>
      <xdr:rowOff>0</xdr:rowOff>
    </xdr:from>
    <xdr:to>
      <xdr:col>4</xdr:col>
      <xdr:colOff>7050</xdr:colOff>
      <xdr:row>5</xdr:row>
      <xdr:rowOff>266743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7C715B-F021-4D8F-986E-C20D77E9B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32"/>
        <a:stretch/>
      </xdr:blipFill>
      <xdr:spPr>
        <a:xfrm>
          <a:off x="2935431" y="0"/>
          <a:ext cx="4123294" cy="1104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2992103</xdr:colOff>
      <xdr:row>0</xdr:row>
      <xdr:rowOff>0</xdr:rowOff>
    </xdr:from>
    <xdr:to>
      <xdr:col>4</xdr:col>
      <xdr:colOff>66089</xdr:colOff>
      <xdr:row>5</xdr:row>
      <xdr:rowOff>94716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DAC0C2-8D14-4DEE-865D-914BEB763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32"/>
        <a:stretch/>
      </xdr:blipFill>
      <xdr:spPr>
        <a:xfrm>
          <a:off x="2992103" y="0"/>
          <a:ext cx="4487611" cy="1056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8142</xdr:rowOff>
    </xdr:from>
    <xdr:to>
      <xdr:col>0</xdr:col>
      <xdr:colOff>2448658</xdr:colOff>
      <xdr:row>5</xdr:row>
      <xdr:rowOff>60244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5B0894-029A-4AE9-A925-CB1F654F9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899" b="38052"/>
        <a:stretch/>
      </xdr:blipFill>
      <xdr:spPr>
        <a:xfrm>
          <a:off x="610577" y="8142"/>
          <a:ext cx="2442308" cy="1037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3160816</xdr:colOff>
      <xdr:row>0</xdr:row>
      <xdr:rowOff>16934</xdr:rowOff>
    </xdr:from>
    <xdr:to>
      <xdr:col>4</xdr:col>
      <xdr:colOff>159604</xdr:colOff>
      <xdr:row>5</xdr:row>
      <xdr:rowOff>47976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A1A5EBC1-7F58-470C-AB53-E463E6A93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32"/>
        <a:stretch/>
      </xdr:blipFill>
      <xdr:spPr>
        <a:xfrm>
          <a:off x="3160816" y="16934"/>
          <a:ext cx="4053638" cy="9867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2306794</xdr:colOff>
      <xdr:row>5</xdr:row>
      <xdr:rowOff>452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133975-AA7E-420D-A1E4-DEDF5F12E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899" b="38052"/>
        <a:stretch/>
      </xdr:blipFill>
      <xdr:spPr>
        <a:xfrm>
          <a:off x="0" y="0"/>
          <a:ext cx="2306794" cy="961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4</xdr:col>
      <xdr:colOff>82550</xdr:colOff>
      <xdr:row>4</xdr:row>
      <xdr:rowOff>131719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8CEC1F55-58F9-E678-95AD-72C100BB8675}"/>
            </a:ext>
          </a:extLst>
        </xdr:cNvPr>
        <xdr:cNvGrpSpPr/>
      </xdr:nvGrpSpPr>
      <xdr:grpSpPr>
        <a:xfrm>
          <a:off x="0" y="30480"/>
          <a:ext cx="7140575" cy="872764"/>
          <a:chOff x="0" y="0"/>
          <a:chExt cx="7064375" cy="910864"/>
        </a:xfrm>
      </xdr:grpSpPr>
      <xdr:pic>
        <xdr:nvPicPr>
          <xdr:cNvPr id="6" name="Imagem 3">
            <a:extLst>
              <a:ext uri="{FF2B5EF4-FFF2-40B4-BE49-F238E27FC236}">
                <a16:creationId xmlns:a16="http://schemas.microsoft.com/office/drawing/2014/main" id="{7C442C1F-33F4-415E-A0D5-2DCF24A7568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832"/>
          <a:stretch/>
        </xdr:blipFill>
        <xdr:spPr>
          <a:xfrm>
            <a:off x="3771323" y="0"/>
            <a:ext cx="3293052" cy="878157"/>
          </a:xfrm>
          <a:prstGeom prst="rect">
            <a:avLst/>
          </a:prstGeom>
        </xdr:spPr>
      </xdr:pic>
      <xdr:pic>
        <xdr:nvPicPr>
          <xdr:cNvPr id="7" name="Imagem 4">
            <a:extLst>
              <a:ext uri="{FF2B5EF4-FFF2-40B4-BE49-F238E27FC236}">
                <a16:creationId xmlns:a16="http://schemas.microsoft.com/office/drawing/2014/main" id="{A63BCF56-1C24-4221-96E6-78300DF842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4899" b="38052"/>
          <a:stretch/>
        </xdr:blipFill>
        <xdr:spPr>
          <a:xfrm>
            <a:off x="0" y="12700"/>
            <a:ext cx="2083955" cy="89816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82550</xdr:colOff>
      <xdr:row>4</xdr:row>
      <xdr:rowOff>101239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CC346B8-1FC2-461C-8F6D-77128A2F256F}"/>
            </a:ext>
          </a:extLst>
        </xdr:cNvPr>
        <xdr:cNvGrpSpPr/>
      </xdr:nvGrpSpPr>
      <xdr:grpSpPr>
        <a:xfrm>
          <a:off x="0" y="0"/>
          <a:ext cx="7464425" cy="872764"/>
          <a:chOff x="0" y="0"/>
          <a:chExt cx="7064375" cy="910864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1A4707B9-2032-F5D8-1016-0AD49FE77E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832"/>
          <a:stretch/>
        </xdr:blipFill>
        <xdr:spPr>
          <a:xfrm>
            <a:off x="3771323" y="0"/>
            <a:ext cx="3293052" cy="878157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3E9BE7A2-03FD-A4C9-3998-D6871D56460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4899" b="38052"/>
          <a:stretch/>
        </xdr:blipFill>
        <xdr:spPr>
          <a:xfrm>
            <a:off x="0" y="12700"/>
            <a:ext cx="2083955" cy="89816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7442-B9FF-4721-A2E9-B29AE502115A}">
  <dimension ref="E2:X6"/>
  <sheetViews>
    <sheetView workbookViewId="0">
      <selection activeCell="L4" sqref="L4:X4"/>
    </sheetView>
  </sheetViews>
  <sheetFormatPr defaultRowHeight="14.45"/>
  <cols>
    <col min="1" max="1" width="3.5703125" customWidth="1"/>
    <col min="2" max="3" width="3.42578125" customWidth="1"/>
    <col min="4" max="4" width="0" hidden="1" customWidth="1"/>
    <col min="10" max="10" width="1.42578125" customWidth="1"/>
    <col min="11" max="11" width="7.5703125" hidden="1" customWidth="1"/>
    <col min="12" max="12" width="16.42578125" customWidth="1"/>
    <col min="24" max="24" width="24.5703125" customWidth="1"/>
  </cols>
  <sheetData>
    <row r="2" spans="5:24" ht="14.85" customHeight="1">
      <c r="E2" s="419" t="s">
        <v>0</v>
      </c>
      <c r="F2" s="419"/>
      <c r="G2" s="419"/>
      <c r="H2" s="419"/>
      <c r="I2" s="419"/>
      <c r="J2" s="419"/>
      <c r="K2" s="419"/>
    </row>
    <row r="3" spans="5:24" ht="31.5" customHeight="1">
      <c r="E3" s="419"/>
      <c r="F3" s="419"/>
      <c r="G3" s="419"/>
      <c r="H3" s="419"/>
      <c r="I3" s="419"/>
      <c r="J3" s="419"/>
      <c r="K3" s="419"/>
    </row>
    <row r="4" spans="5:24" ht="45" customHeight="1">
      <c r="E4" s="421" t="s">
        <v>1</v>
      </c>
      <c r="F4" s="421"/>
      <c r="G4" s="421"/>
      <c r="H4" s="421"/>
      <c r="I4" s="421"/>
      <c r="J4" s="421"/>
      <c r="L4" s="420" t="s">
        <v>2</v>
      </c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</row>
    <row r="5" spans="5:24" ht="88.35" customHeight="1">
      <c r="E5" s="421" t="s">
        <v>3</v>
      </c>
      <c r="F5" s="421"/>
      <c r="G5" s="421"/>
      <c r="H5" s="421"/>
      <c r="I5" s="421"/>
      <c r="J5" s="421"/>
      <c r="K5" s="421"/>
      <c r="L5" s="420" t="s">
        <v>4</v>
      </c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</row>
    <row r="6" spans="5:24" ht="43.5" customHeight="1">
      <c r="E6" s="421" t="s">
        <v>5</v>
      </c>
      <c r="F6" s="421"/>
      <c r="G6" s="421"/>
      <c r="H6" s="421"/>
      <c r="I6" s="421"/>
      <c r="J6" s="421"/>
      <c r="K6" s="421"/>
      <c r="L6" s="420" t="s">
        <v>6</v>
      </c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</row>
  </sheetData>
  <mergeCells count="7">
    <mergeCell ref="E2:K3"/>
    <mergeCell ref="L4:X4"/>
    <mergeCell ref="L5:X5"/>
    <mergeCell ref="E6:K6"/>
    <mergeCell ref="E5:K5"/>
    <mergeCell ref="L6:X6"/>
    <mergeCell ref="E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77D7-F0C6-43B6-9997-EE16DD25183A}">
  <sheetPr>
    <tabColor theme="9" tint="0.79998168889431442"/>
    <pageSetUpPr autoPageBreaks="0"/>
  </sheetPr>
  <dimension ref="A3:V253"/>
  <sheetViews>
    <sheetView showGridLines="0" tabSelected="1" zoomScaleNormal="100" zoomScaleSheetLayoutView="80" workbookViewId="0">
      <pane ySplit="7" topLeftCell="A172" activePane="bottomLeft" state="frozen"/>
      <selection pane="bottomLeft" activeCell="D183" sqref="D183"/>
    </sheetView>
  </sheetViews>
  <sheetFormatPr defaultRowHeight="14.45"/>
  <cols>
    <col min="1" max="1" width="65.5703125" customWidth="1"/>
    <col min="2" max="13" width="13.42578125" customWidth="1"/>
    <col min="14" max="18" width="9" customWidth="1"/>
    <col min="20" max="20" width="54.42578125" customWidth="1"/>
    <col min="21" max="26" width="16.42578125" customWidth="1"/>
  </cols>
  <sheetData>
    <row r="3" spans="1:22">
      <c r="F3" s="302"/>
      <c r="G3" s="302"/>
    </row>
    <row r="4" spans="1:22">
      <c r="F4" s="303"/>
      <c r="G4" s="303"/>
    </row>
    <row r="5" spans="1:22" ht="5.85" customHeight="1">
      <c r="F5" s="303"/>
      <c r="G5" s="303"/>
    </row>
    <row r="6" spans="1:22" ht="32.85" customHeight="1">
      <c r="A6" s="405" t="s">
        <v>7</v>
      </c>
      <c r="B6" s="406"/>
      <c r="C6" s="406"/>
      <c r="D6" s="406"/>
      <c r="E6" s="304"/>
      <c r="F6" s="303"/>
      <c r="G6" s="304"/>
      <c r="H6" s="304"/>
      <c r="I6" s="304"/>
      <c r="J6" s="304"/>
      <c r="K6" s="304"/>
      <c r="L6" s="304"/>
    </row>
    <row r="7" spans="1:22">
      <c r="F7" s="303"/>
    </row>
    <row r="8" spans="1:22" ht="18.600000000000001">
      <c r="A8" s="408" t="s">
        <v>8</v>
      </c>
      <c r="B8" s="408"/>
      <c r="C8" s="408"/>
      <c r="D8" s="408"/>
      <c r="F8" s="409"/>
      <c r="G8" s="409"/>
      <c r="H8" s="409"/>
      <c r="I8" s="409"/>
      <c r="J8" s="409"/>
      <c r="T8" s="407"/>
      <c r="U8" s="407"/>
      <c r="V8" s="407"/>
    </row>
    <row r="9" spans="1:22">
      <c r="A9" s="11" t="s">
        <v>9</v>
      </c>
      <c r="B9" s="203">
        <v>2025</v>
      </c>
      <c r="C9" s="203">
        <v>2024</v>
      </c>
      <c r="D9" s="122">
        <v>2023</v>
      </c>
    </row>
    <row r="10" spans="1:22">
      <c r="A10" s="411" t="s">
        <v>10</v>
      </c>
      <c r="B10" s="411"/>
      <c r="C10" s="411"/>
      <c r="D10" s="411"/>
    </row>
    <row r="11" spans="1:22">
      <c r="A11" s="5" t="s">
        <v>11</v>
      </c>
      <c r="B11" s="8">
        <v>18587.099999999999</v>
      </c>
      <c r="C11" s="305">
        <v>18360.86</v>
      </c>
      <c r="D11" s="8">
        <v>18024.5</v>
      </c>
    </row>
    <row r="12" spans="1:22">
      <c r="A12" s="7" t="s">
        <v>12</v>
      </c>
      <c r="B12" s="10">
        <v>11813.67</v>
      </c>
      <c r="C12" s="306">
        <v>11768.31</v>
      </c>
      <c r="D12" s="10">
        <v>12710</v>
      </c>
    </row>
    <row r="13" spans="1:22">
      <c r="A13" s="7" t="s">
        <v>13</v>
      </c>
      <c r="B13" s="10">
        <v>6773.43</v>
      </c>
      <c r="C13" s="306">
        <v>6592.55</v>
      </c>
      <c r="D13" s="10">
        <v>5314.5</v>
      </c>
      <c r="F13" s="108"/>
      <c r="G13" s="108"/>
    </row>
    <row r="14" spans="1:22">
      <c r="A14" s="7" t="s">
        <v>14</v>
      </c>
      <c r="B14" s="10">
        <v>21932.28</v>
      </c>
      <c r="C14" s="306">
        <v>19143.2</v>
      </c>
      <c r="D14" s="10">
        <v>18879.900000000001</v>
      </c>
      <c r="E14" s="307"/>
      <c r="F14" s="108"/>
      <c r="G14" s="108"/>
    </row>
    <row r="15" spans="1:22">
      <c r="A15" s="7" t="s">
        <v>15</v>
      </c>
      <c r="B15" s="10">
        <v>4995.2</v>
      </c>
      <c r="C15" s="306">
        <v>4995.2</v>
      </c>
      <c r="D15" s="10">
        <v>4995.2</v>
      </c>
    </row>
    <row r="16" spans="1:22" ht="14.45" customHeight="1">
      <c r="A16" s="308" t="s">
        <v>16</v>
      </c>
      <c r="B16" s="309">
        <v>2025</v>
      </c>
      <c r="C16" s="310">
        <v>2024</v>
      </c>
      <c r="D16" s="310">
        <v>2023</v>
      </c>
    </row>
    <row r="17" spans="1:4" ht="15" customHeight="1">
      <c r="A17" s="23" t="s">
        <v>17</v>
      </c>
      <c r="B17" s="24">
        <v>4624279</v>
      </c>
      <c r="C17" s="26">
        <v>4257761</v>
      </c>
      <c r="D17" s="24">
        <v>4221108</v>
      </c>
    </row>
    <row r="18" spans="1:4">
      <c r="A18" s="7" t="s">
        <v>18</v>
      </c>
      <c r="B18" s="30">
        <v>2906158</v>
      </c>
      <c r="C18" s="44">
        <v>2542696</v>
      </c>
      <c r="D18" s="30">
        <v>2621293</v>
      </c>
    </row>
    <row r="19" spans="1:4">
      <c r="A19" s="7" t="s">
        <v>19</v>
      </c>
      <c r="B19" s="30">
        <v>0</v>
      </c>
      <c r="C19" s="44">
        <v>0</v>
      </c>
      <c r="D19" s="30">
        <v>0</v>
      </c>
    </row>
    <row r="20" spans="1:4">
      <c r="A20" s="7" t="s">
        <v>20</v>
      </c>
      <c r="B20" s="30">
        <v>1716901</v>
      </c>
      <c r="C20" s="44">
        <v>1713864</v>
      </c>
      <c r="D20" s="30">
        <v>1596837</v>
      </c>
    </row>
    <row r="21" spans="1:4">
      <c r="A21" s="7" t="s">
        <v>21</v>
      </c>
      <c r="B21" s="16">
        <v>1220</v>
      </c>
      <c r="C21" s="17">
        <v>1201</v>
      </c>
      <c r="D21" s="16">
        <v>9447</v>
      </c>
    </row>
    <row r="22" spans="1:4">
      <c r="A22" s="383" t="s">
        <v>22</v>
      </c>
      <c r="B22" s="379">
        <v>0</v>
      </c>
      <c r="C22" s="380">
        <v>0</v>
      </c>
      <c r="D22" s="379">
        <v>-6469</v>
      </c>
    </row>
    <row r="23" spans="1:4">
      <c r="A23" s="12" t="s">
        <v>23</v>
      </c>
      <c r="B23" s="19">
        <v>-863317</v>
      </c>
      <c r="C23" s="311">
        <v>-478540</v>
      </c>
      <c r="D23" s="19">
        <v>-380342</v>
      </c>
    </row>
    <row r="24" spans="1:4">
      <c r="A24" s="375" t="s">
        <v>24</v>
      </c>
      <c r="B24" s="16">
        <v>-709430</v>
      </c>
      <c r="C24" s="17">
        <v>-349389</v>
      </c>
      <c r="D24" s="16">
        <v>-237620</v>
      </c>
    </row>
    <row r="25" spans="1:4" ht="14.45" customHeight="1">
      <c r="A25" s="375" t="s">
        <v>25</v>
      </c>
      <c r="B25" s="16">
        <v>2288</v>
      </c>
      <c r="C25" s="17">
        <v>0</v>
      </c>
      <c r="D25" s="16">
        <v>0</v>
      </c>
    </row>
    <row r="26" spans="1:4">
      <c r="A26" s="375" t="s">
        <v>26</v>
      </c>
      <c r="B26" s="16">
        <v>0</v>
      </c>
      <c r="C26" s="17">
        <v>0</v>
      </c>
      <c r="D26" s="16">
        <v>0</v>
      </c>
    </row>
    <row r="27" spans="1:4">
      <c r="A27" s="375" t="s">
        <v>27</v>
      </c>
      <c r="B27" s="16">
        <v>-122825</v>
      </c>
      <c r="C27" s="17">
        <v>-122793</v>
      </c>
      <c r="D27" s="16">
        <v>-115092</v>
      </c>
    </row>
    <row r="28" spans="1:4">
      <c r="A28" s="378" t="s">
        <v>28</v>
      </c>
      <c r="B28" s="379">
        <v>-33350</v>
      </c>
      <c r="C28" s="380">
        <v>-6358</v>
      </c>
      <c r="D28" s="379">
        <v>-27630</v>
      </c>
    </row>
    <row r="29" spans="1:4">
      <c r="A29" s="377" t="s">
        <v>29</v>
      </c>
      <c r="B29" s="381">
        <v>3760962</v>
      </c>
      <c r="C29" s="382">
        <v>3779221</v>
      </c>
      <c r="D29" s="381">
        <v>3840766</v>
      </c>
    </row>
    <row r="30" spans="1:4">
      <c r="A30" s="375" t="s">
        <v>30</v>
      </c>
      <c r="B30" s="16">
        <v>-271996</v>
      </c>
      <c r="C30" s="17">
        <v>-270025</v>
      </c>
      <c r="D30" s="16">
        <v>-269095</v>
      </c>
    </row>
    <row r="31" spans="1:4">
      <c r="A31" s="378" t="s">
        <v>31</v>
      </c>
      <c r="B31" s="379">
        <v>0</v>
      </c>
      <c r="C31" s="380">
        <v>0</v>
      </c>
      <c r="D31" s="379">
        <v>0</v>
      </c>
    </row>
    <row r="32" spans="1:4">
      <c r="A32" s="12" t="s">
        <v>32</v>
      </c>
      <c r="B32" s="19">
        <v>3488966</v>
      </c>
      <c r="C32" s="311">
        <v>3509196</v>
      </c>
      <c r="D32" s="19">
        <v>3571671</v>
      </c>
    </row>
    <row r="33" spans="1:4">
      <c r="A33" s="375" t="s">
        <v>33</v>
      </c>
      <c r="B33" s="16">
        <v>0</v>
      </c>
      <c r="C33" s="17">
        <v>0</v>
      </c>
      <c r="D33" s="31">
        <v>0</v>
      </c>
    </row>
    <row r="34" spans="1:4">
      <c r="A34" s="375" t="s">
        <v>34</v>
      </c>
      <c r="B34" s="16">
        <v>0</v>
      </c>
      <c r="C34" s="17">
        <v>0</v>
      </c>
      <c r="D34" s="30">
        <v>39</v>
      </c>
    </row>
    <row r="35" spans="1:4">
      <c r="A35" s="375" t="s">
        <v>35</v>
      </c>
      <c r="B35" s="30">
        <v>323876</v>
      </c>
      <c r="C35" s="44">
        <v>202606</v>
      </c>
      <c r="D35" s="31">
        <v>529406</v>
      </c>
    </row>
    <row r="36" spans="1:4">
      <c r="A36" s="375" t="s">
        <v>36</v>
      </c>
      <c r="B36" s="40">
        <v>0</v>
      </c>
      <c r="C36" s="37">
        <v>0</v>
      </c>
      <c r="D36" s="40">
        <v>0</v>
      </c>
    </row>
    <row r="37" spans="1:4">
      <c r="A37" s="312" t="s">
        <v>37</v>
      </c>
      <c r="B37" s="313">
        <v>323876</v>
      </c>
      <c r="C37" s="314">
        <v>202606</v>
      </c>
      <c r="D37" s="313">
        <v>529445</v>
      </c>
    </row>
    <row r="38" spans="1:4">
      <c r="A38" s="315" t="s">
        <v>38</v>
      </c>
      <c r="B38" s="316">
        <v>3812842</v>
      </c>
      <c r="C38" s="317">
        <v>3711802</v>
      </c>
      <c r="D38" s="316">
        <v>4101116</v>
      </c>
    </row>
    <row r="39" spans="1:4">
      <c r="A39" s="318" t="s">
        <v>39</v>
      </c>
      <c r="B39" s="319"/>
      <c r="C39" s="320"/>
      <c r="D39" s="319"/>
    </row>
    <row r="40" spans="1:4">
      <c r="A40" s="372" t="s">
        <v>40</v>
      </c>
      <c r="B40" s="373">
        <v>87390</v>
      </c>
      <c r="C40" s="374">
        <v>84882</v>
      </c>
      <c r="D40" s="373">
        <v>80998</v>
      </c>
    </row>
    <row r="41" spans="1:4">
      <c r="A41" s="375" t="s">
        <v>41</v>
      </c>
      <c r="B41" s="16">
        <v>64958</v>
      </c>
      <c r="C41" s="17">
        <v>60155</v>
      </c>
      <c r="D41" s="16">
        <v>60889</v>
      </c>
    </row>
    <row r="42" spans="1:4">
      <c r="A42" s="375" t="s">
        <v>42</v>
      </c>
      <c r="B42" s="40">
        <v>17895</v>
      </c>
      <c r="C42" s="37">
        <v>19760</v>
      </c>
      <c r="D42" s="40">
        <v>16006</v>
      </c>
    </row>
    <row r="43" spans="1:4">
      <c r="A43" s="375" t="s">
        <v>43</v>
      </c>
      <c r="B43" s="81">
        <v>4537</v>
      </c>
      <c r="C43" s="217">
        <v>4967</v>
      </c>
      <c r="D43" s="81">
        <v>4103</v>
      </c>
    </row>
    <row r="44" spans="1:4">
      <c r="A44" s="375" t="s">
        <v>44</v>
      </c>
      <c r="B44" s="81">
        <v>0</v>
      </c>
      <c r="C44" s="217">
        <v>0</v>
      </c>
      <c r="D44" s="81">
        <v>0</v>
      </c>
    </row>
    <row r="45" spans="1:4">
      <c r="A45" s="375" t="s">
        <v>45</v>
      </c>
      <c r="B45" s="81">
        <v>0</v>
      </c>
      <c r="C45" s="217">
        <v>0</v>
      </c>
      <c r="D45" s="81">
        <v>0</v>
      </c>
    </row>
    <row r="46" spans="1:4">
      <c r="A46" s="219" t="s">
        <v>46</v>
      </c>
      <c r="B46" s="222">
        <v>1073026</v>
      </c>
      <c r="C46" s="221">
        <v>917181</v>
      </c>
      <c r="D46" s="222">
        <v>1121668</v>
      </c>
    </row>
    <row r="47" spans="1:4">
      <c r="A47" s="375" t="s">
        <v>47</v>
      </c>
      <c r="B47" s="81">
        <v>1026575</v>
      </c>
      <c r="C47" s="217">
        <v>879530</v>
      </c>
      <c r="D47" s="81">
        <v>1085760</v>
      </c>
    </row>
    <row r="48" spans="1:4">
      <c r="A48" s="375" t="s">
        <v>48</v>
      </c>
      <c r="B48" s="81">
        <v>2900</v>
      </c>
      <c r="C48" s="217">
        <v>1774</v>
      </c>
      <c r="D48" s="276">
        <v>144</v>
      </c>
    </row>
    <row r="49" spans="1:6">
      <c r="A49" s="375" t="s">
        <v>49</v>
      </c>
      <c r="B49" s="81">
        <v>43551</v>
      </c>
      <c r="C49" s="217">
        <v>35877</v>
      </c>
      <c r="D49" s="81">
        <v>35764</v>
      </c>
    </row>
    <row r="50" spans="1:6">
      <c r="A50" s="219" t="s">
        <v>50</v>
      </c>
      <c r="B50" s="222">
        <v>310333</v>
      </c>
      <c r="C50" s="221">
        <v>824208</v>
      </c>
      <c r="D50" s="222">
        <v>647028</v>
      </c>
    </row>
    <row r="51" spans="1:6">
      <c r="A51" s="375" t="s">
        <v>33</v>
      </c>
      <c r="B51" s="14">
        <v>1678</v>
      </c>
      <c r="C51" s="217">
        <v>1463</v>
      </c>
      <c r="D51" s="81">
        <v>957</v>
      </c>
    </row>
    <row r="52" spans="1:6">
      <c r="A52" s="375" t="s">
        <v>51</v>
      </c>
      <c r="B52" s="20">
        <v>308655</v>
      </c>
      <c r="C52" s="217">
        <v>822745</v>
      </c>
      <c r="D52" s="81">
        <v>646071</v>
      </c>
    </row>
    <row r="53" spans="1:6">
      <c r="A53" s="12" t="s">
        <v>52</v>
      </c>
      <c r="B53" s="321">
        <v>2342093</v>
      </c>
      <c r="C53" s="322">
        <v>1885531</v>
      </c>
      <c r="D53" s="321">
        <v>2251422</v>
      </c>
    </row>
    <row r="54" spans="1:6">
      <c r="A54" s="375" t="s">
        <v>53</v>
      </c>
      <c r="B54" s="81">
        <v>1050000</v>
      </c>
      <c r="C54" s="323">
        <v>842000</v>
      </c>
      <c r="D54" s="81">
        <v>755000</v>
      </c>
    </row>
    <row r="55" spans="1:6">
      <c r="A55" s="375" t="s">
        <v>54</v>
      </c>
      <c r="B55" s="81">
        <v>1005565</v>
      </c>
      <c r="C55" s="217">
        <v>671812</v>
      </c>
      <c r="D55" s="81">
        <v>0</v>
      </c>
    </row>
    <row r="56" spans="1:6">
      <c r="A56" s="375" t="s">
        <v>55</v>
      </c>
      <c r="B56" s="81">
        <v>286528</v>
      </c>
      <c r="C56" s="217">
        <v>371719</v>
      </c>
      <c r="D56" s="81">
        <v>1496422</v>
      </c>
    </row>
    <row r="57" spans="1:6">
      <c r="A57" s="375" t="s">
        <v>56</v>
      </c>
      <c r="B57" s="81">
        <v>0</v>
      </c>
      <c r="C57" s="217">
        <v>0</v>
      </c>
      <c r="D57" s="81">
        <v>0</v>
      </c>
    </row>
    <row r="58" spans="1:6">
      <c r="A58" s="324" t="s">
        <v>57</v>
      </c>
      <c r="B58" s="325">
        <v>3812842</v>
      </c>
      <c r="C58" s="326">
        <v>3711802</v>
      </c>
      <c r="D58" s="325">
        <v>4101116</v>
      </c>
    </row>
    <row r="59" spans="1:6">
      <c r="A59" s="4" t="s">
        <v>58</v>
      </c>
      <c r="B59" s="122">
        <v>2025</v>
      </c>
      <c r="C59" s="211">
        <v>2024</v>
      </c>
      <c r="D59" s="122">
        <v>2023</v>
      </c>
    </row>
    <row r="60" spans="1:6">
      <c r="A60" s="87" t="s">
        <v>59</v>
      </c>
      <c r="B60" s="327"/>
      <c r="C60" s="328"/>
      <c r="D60" s="327"/>
    </row>
    <row r="61" spans="1:6">
      <c r="A61" s="237" t="s">
        <v>60</v>
      </c>
      <c r="B61" s="162"/>
      <c r="C61" s="329"/>
      <c r="D61" s="162"/>
    </row>
    <row r="62" spans="1:6" ht="14.85" customHeight="1">
      <c r="A62" s="99" t="s">
        <v>61</v>
      </c>
      <c r="B62" s="56">
        <v>354</v>
      </c>
      <c r="C62" s="330">
        <v>357</v>
      </c>
      <c r="D62" s="56">
        <v>382</v>
      </c>
    </row>
    <row r="63" spans="1:6" ht="24">
      <c r="A63" s="201" t="s">
        <v>62</v>
      </c>
      <c r="B63" s="57">
        <v>397</v>
      </c>
      <c r="C63" s="330">
        <v>112</v>
      </c>
      <c r="D63" s="56">
        <v>96</v>
      </c>
    </row>
    <row r="64" spans="1:6">
      <c r="A64" s="99" t="s">
        <v>63</v>
      </c>
      <c r="B64" s="58">
        <v>13.28</v>
      </c>
      <c r="C64" s="331">
        <f>0.1513*100</f>
        <v>15.129999999999999</v>
      </c>
      <c r="D64" s="238">
        <v>15</v>
      </c>
      <c r="F64" s="332"/>
    </row>
    <row r="65" spans="1:6">
      <c r="A65" s="99" t="s">
        <v>64</v>
      </c>
      <c r="B65" s="58">
        <v>36.44</v>
      </c>
      <c r="C65" s="333">
        <f>0.3529*100</f>
        <v>35.29</v>
      </c>
      <c r="D65" s="238">
        <v>33</v>
      </c>
      <c r="F65" s="332"/>
    </row>
    <row r="66" spans="1:6">
      <c r="A66" s="59" t="s">
        <v>65</v>
      </c>
      <c r="B66" s="58">
        <v>27.68</v>
      </c>
      <c r="C66" s="331">
        <f>0.2689*100</f>
        <v>26.889999999999997</v>
      </c>
      <c r="D66" s="238">
        <v>28.000000000000004</v>
      </c>
      <c r="F66" s="332"/>
    </row>
    <row r="67" spans="1:6">
      <c r="A67" s="99" t="s">
        <v>66</v>
      </c>
      <c r="B67" s="56">
        <v>22.6</v>
      </c>
      <c r="C67" s="331">
        <f>0.2269*100</f>
        <v>22.689999999999998</v>
      </c>
      <c r="D67" s="238">
        <v>24</v>
      </c>
      <c r="F67" s="332"/>
    </row>
    <row r="68" spans="1:6">
      <c r="A68" s="59" t="s">
        <v>67</v>
      </c>
      <c r="B68" s="58">
        <v>11.58</v>
      </c>
      <c r="C68" s="334">
        <v>11.76</v>
      </c>
      <c r="D68" s="239">
        <v>11</v>
      </c>
      <c r="F68" s="332"/>
    </row>
    <row r="69" spans="1:6" ht="14.85" customHeight="1">
      <c r="A69" s="99" t="s">
        <v>68</v>
      </c>
      <c r="B69" s="58">
        <v>13.89</v>
      </c>
      <c r="C69" s="331">
        <v>16.13</v>
      </c>
      <c r="D69" s="238">
        <v>18</v>
      </c>
      <c r="F69" s="332"/>
    </row>
    <row r="70" spans="1:6">
      <c r="A70" s="59" t="s">
        <v>69</v>
      </c>
      <c r="B70" s="58">
        <v>3.67</v>
      </c>
      <c r="C70" s="334">
        <v>3.92</v>
      </c>
      <c r="D70" s="239">
        <v>3</v>
      </c>
      <c r="F70" s="332"/>
    </row>
    <row r="71" spans="1:6">
      <c r="A71" s="99" t="s">
        <v>70</v>
      </c>
      <c r="B71" s="56">
        <v>27.4</v>
      </c>
      <c r="C71" s="331">
        <v>26.61</v>
      </c>
      <c r="D71" s="238">
        <v>26</v>
      </c>
      <c r="F71" s="332"/>
    </row>
    <row r="72" spans="1:6" ht="24.6">
      <c r="A72" s="99" t="s">
        <v>71</v>
      </c>
      <c r="B72" s="58">
        <v>16.670000000000002</v>
      </c>
      <c r="C72" s="331">
        <v>19.350000000000001</v>
      </c>
      <c r="D72" s="238">
        <v>15</v>
      </c>
      <c r="F72" s="332"/>
    </row>
    <row r="73" spans="1:6">
      <c r="A73" s="99" t="s">
        <v>72</v>
      </c>
      <c r="B73" s="58">
        <v>1.41</v>
      </c>
      <c r="C73" s="331">
        <v>0.84</v>
      </c>
      <c r="D73" s="238">
        <v>1</v>
      </c>
      <c r="F73" s="332"/>
    </row>
    <row r="74" spans="1:6">
      <c r="A74" s="99" t="s">
        <v>73</v>
      </c>
      <c r="B74" s="335">
        <v>0.85</v>
      </c>
      <c r="C74" s="331">
        <v>0.55999999999999994</v>
      </c>
      <c r="D74" s="238">
        <v>1</v>
      </c>
      <c r="F74" s="332"/>
    </row>
    <row r="75" spans="1:6">
      <c r="A75" s="99" t="s">
        <v>74</v>
      </c>
      <c r="B75" s="56">
        <v>14</v>
      </c>
      <c r="C75" s="330">
        <v>13</v>
      </c>
      <c r="D75" s="56">
        <v>11</v>
      </c>
    </row>
    <row r="76" spans="1:6">
      <c r="A76" s="65" t="s">
        <v>75</v>
      </c>
      <c r="B76" s="84"/>
      <c r="C76" s="336"/>
      <c r="D76" s="80"/>
    </row>
    <row r="77" spans="1:6">
      <c r="A77" s="62" t="s">
        <v>76</v>
      </c>
      <c r="B77" s="170">
        <v>52271</v>
      </c>
      <c r="C77" s="94">
        <v>50117</v>
      </c>
      <c r="D77" s="94">
        <v>48960</v>
      </c>
    </row>
    <row r="78" spans="1:6">
      <c r="A78" s="64" t="s">
        <v>77</v>
      </c>
      <c r="B78" s="286">
        <v>17987</v>
      </c>
      <c r="C78" s="94">
        <v>17819</v>
      </c>
      <c r="D78" s="94">
        <v>16817</v>
      </c>
    </row>
    <row r="79" spans="1:6">
      <c r="A79" s="65" t="s">
        <v>42</v>
      </c>
      <c r="B79" s="66">
        <f>SUM(B80:B89)</f>
        <v>17890</v>
      </c>
      <c r="C79" s="337">
        <f>SUM(C80:C89)</f>
        <v>17052</v>
      </c>
      <c r="D79" s="66">
        <f>SUM(D80:D89)</f>
        <v>15839</v>
      </c>
    </row>
    <row r="80" spans="1:6">
      <c r="A80" s="99" t="s">
        <v>78</v>
      </c>
      <c r="B80" s="94">
        <v>196</v>
      </c>
      <c r="C80" s="338">
        <v>253</v>
      </c>
      <c r="D80" s="67">
        <v>284</v>
      </c>
    </row>
    <row r="81" spans="1:4">
      <c r="A81" s="99" t="s">
        <v>79</v>
      </c>
      <c r="B81" s="94">
        <v>6678</v>
      </c>
      <c r="C81" s="338">
        <v>6934</v>
      </c>
      <c r="D81" s="67">
        <v>6212</v>
      </c>
    </row>
    <row r="82" spans="1:4">
      <c r="A82" s="99" t="s">
        <v>80</v>
      </c>
      <c r="B82" s="94">
        <v>2224</v>
      </c>
      <c r="C82" s="338">
        <v>1648</v>
      </c>
      <c r="D82" s="67">
        <v>1661</v>
      </c>
    </row>
    <row r="83" spans="1:4">
      <c r="A83" s="99" t="s">
        <v>81</v>
      </c>
      <c r="B83" s="94">
        <v>5539</v>
      </c>
      <c r="C83" s="338">
        <v>4961</v>
      </c>
      <c r="D83" s="67">
        <v>4188</v>
      </c>
    </row>
    <row r="84" spans="1:4">
      <c r="A84" s="99" t="s">
        <v>82</v>
      </c>
      <c r="B84" s="94">
        <v>1523</v>
      </c>
      <c r="C84" s="338">
        <v>1650</v>
      </c>
      <c r="D84" s="67">
        <v>1518</v>
      </c>
    </row>
    <row r="85" spans="1:4">
      <c r="A85" s="99" t="s">
        <v>83</v>
      </c>
      <c r="B85" s="94">
        <v>253</v>
      </c>
      <c r="C85" s="338">
        <v>320</v>
      </c>
      <c r="D85" s="67">
        <v>662</v>
      </c>
    </row>
    <row r="86" spans="1:4">
      <c r="A86" s="99" t="s">
        <v>84</v>
      </c>
      <c r="B86" s="94">
        <v>0</v>
      </c>
      <c r="C86" s="338">
        <v>0</v>
      </c>
      <c r="D86" s="67">
        <v>0</v>
      </c>
    </row>
    <row r="87" spans="1:4">
      <c r="A87" s="99" t="s">
        <v>85</v>
      </c>
      <c r="B87" s="94">
        <v>901</v>
      </c>
      <c r="C87" s="338">
        <v>741</v>
      </c>
      <c r="D87" s="67">
        <v>736</v>
      </c>
    </row>
    <row r="88" spans="1:4">
      <c r="A88" s="99" t="s">
        <v>86</v>
      </c>
      <c r="B88" s="94">
        <v>90</v>
      </c>
      <c r="C88" s="338">
        <v>87</v>
      </c>
      <c r="D88" s="67">
        <v>57</v>
      </c>
    </row>
    <row r="89" spans="1:4">
      <c r="A89" s="59" t="s">
        <v>87</v>
      </c>
      <c r="B89" s="94">
        <v>486</v>
      </c>
      <c r="C89" s="339">
        <v>458</v>
      </c>
      <c r="D89" s="68">
        <v>521</v>
      </c>
    </row>
    <row r="90" spans="1:4">
      <c r="A90" s="65" t="s">
        <v>88</v>
      </c>
      <c r="B90" s="84"/>
      <c r="C90" s="336"/>
      <c r="D90" s="80"/>
    </row>
    <row r="91" spans="1:4">
      <c r="A91" s="99" t="s">
        <v>89</v>
      </c>
      <c r="B91" s="67">
        <v>9252</v>
      </c>
      <c r="C91" s="338">
        <v>10248</v>
      </c>
      <c r="D91" s="67">
        <v>11997</v>
      </c>
    </row>
    <row r="92" spans="1:4">
      <c r="A92" s="59" t="s">
        <v>90</v>
      </c>
      <c r="B92" s="67">
        <v>18</v>
      </c>
      <c r="C92" s="339">
        <v>0.2</v>
      </c>
      <c r="D92" s="340">
        <v>25</v>
      </c>
    </row>
    <row r="93" spans="1:4" ht="15" customHeight="1">
      <c r="A93" s="99" t="s">
        <v>91</v>
      </c>
      <c r="B93" s="72">
        <v>70.95</v>
      </c>
      <c r="C93" s="341">
        <v>68.180000000000007</v>
      </c>
      <c r="D93" s="72">
        <v>43.94</v>
      </c>
    </row>
    <row r="94" spans="1:4">
      <c r="A94" s="99" t="s">
        <v>92</v>
      </c>
      <c r="B94" s="72">
        <v>1.8</v>
      </c>
      <c r="C94" s="341">
        <v>1.69</v>
      </c>
      <c r="D94" s="72">
        <v>2.5</v>
      </c>
    </row>
    <row r="95" spans="1:4">
      <c r="A95" s="65" t="s">
        <v>93</v>
      </c>
      <c r="B95" s="84"/>
      <c r="C95" s="336"/>
      <c r="D95" s="80"/>
    </row>
    <row r="96" spans="1:4">
      <c r="A96" s="99" t="s">
        <v>94</v>
      </c>
      <c r="B96" s="342">
        <v>71245.73</v>
      </c>
      <c r="C96" s="343">
        <v>68575.17</v>
      </c>
      <c r="D96" s="106">
        <v>61202.11</v>
      </c>
    </row>
    <row r="97" spans="1:4">
      <c r="A97" s="99" t="s">
        <v>95</v>
      </c>
      <c r="B97" s="342">
        <v>25055</v>
      </c>
      <c r="C97" s="343">
        <v>24875.393793103449</v>
      </c>
      <c r="D97" s="106">
        <v>32167.89</v>
      </c>
    </row>
    <row r="98" spans="1:4">
      <c r="A98" s="99" t="s">
        <v>96</v>
      </c>
      <c r="B98" s="342">
        <v>11298</v>
      </c>
      <c r="C98" s="343">
        <v>10821.59255813954</v>
      </c>
      <c r="D98" s="106">
        <v>13995.34</v>
      </c>
    </row>
    <row r="99" spans="1:4">
      <c r="A99" s="99" t="s">
        <v>97</v>
      </c>
      <c r="B99" s="342">
        <v>6876</v>
      </c>
      <c r="C99" s="343">
        <v>6902.5213043478207</v>
      </c>
      <c r="D99" s="106">
        <v>11005.81</v>
      </c>
    </row>
    <row r="100" spans="1:4">
      <c r="A100" s="65" t="s">
        <v>98</v>
      </c>
      <c r="B100" s="84"/>
      <c r="C100" s="344"/>
      <c r="D100" s="70"/>
    </row>
    <row r="101" spans="1:4">
      <c r="A101" s="99" t="s">
        <v>99</v>
      </c>
      <c r="B101" s="67">
        <v>52.05</v>
      </c>
      <c r="C101" s="338">
        <v>63.96</v>
      </c>
      <c r="D101" s="67">
        <v>104</v>
      </c>
    </row>
    <row r="102" spans="1:4">
      <c r="A102" s="59" t="s">
        <v>100</v>
      </c>
      <c r="B102" s="67">
        <v>0</v>
      </c>
      <c r="C102" s="339">
        <v>4</v>
      </c>
      <c r="D102" s="68">
        <v>1.3</v>
      </c>
    </row>
    <row r="103" spans="1:4">
      <c r="A103" s="99" t="s">
        <v>101</v>
      </c>
      <c r="B103" s="67">
        <v>0</v>
      </c>
      <c r="C103" s="338">
        <v>0</v>
      </c>
      <c r="D103" s="67">
        <v>0</v>
      </c>
    </row>
    <row r="104" spans="1:4" ht="14.85" customHeight="1">
      <c r="A104" s="99" t="s">
        <v>102</v>
      </c>
      <c r="B104" s="67">
        <v>3.58</v>
      </c>
      <c r="C104" s="338">
        <v>1.3</v>
      </c>
      <c r="D104" s="67">
        <v>3.9</v>
      </c>
    </row>
    <row r="105" spans="1:4">
      <c r="A105" s="99" t="s">
        <v>103</v>
      </c>
      <c r="B105" s="67">
        <v>0</v>
      </c>
      <c r="C105" s="338">
        <v>19.8</v>
      </c>
      <c r="D105" s="67">
        <v>0</v>
      </c>
    </row>
    <row r="106" spans="1:4" ht="24" customHeight="1">
      <c r="A106" s="99" t="s">
        <v>104</v>
      </c>
      <c r="B106" s="67">
        <v>1.92</v>
      </c>
      <c r="C106" s="338">
        <v>2.6</v>
      </c>
      <c r="D106" s="67">
        <v>2.9</v>
      </c>
    </row>
    <row r="107" spans="1:4">
      <c r="A107" s="59" t="s">
        <v>105</v>
      </c>
      <c r="B107" s="67">
        <v>0</v>
      </c>
      <c r="C107" s="339">
        <v>9.6999999999999993</v>
      </c>
      <c r="D107" s="68">
        <v>0</v>
      </c>
    </row>
    <row r="108" spans="1:4">
      <c r="A108" s="99" t="s">
        <v>106</v>
      </c>
      <c r="B108" s="67">
        <v>0</v>
      </c>
      <c r="C108" s="338">
        <v>0</v>
      </c>
      <c r="D108" s="67">
        <v>0</v>
      </c>
    </row>
    <row r="109" spans="1:4">
      <c r="A109" s="99" t="s">
        <v>107</v>
      </c>
      <c r="B109" s="67">
        <v>0</v>
      </c>
      <c r="C109" s="338">
        <v>0</v>
      </c>
      <c r="D109" s="67">
        <v>0</v>
      </c>
    </row>
    <row r="110" spans="1:4">
      <c r="A110" s="99" t="s">
        <v>108</v>
      </c>
      <c r="B110" s="67">
        <v>0</v>
      </c>
      <c r="C110" s="338">
        <v>15</v>
      </c>
      <c r="D110" s="67">
        <v>0</v>
      </c>
    </row>
    <row r="111" spans="1:4">
      <c r="A111" s="99" t="s">
        <v>109</v>
      </c>
      <c r="B111" s="67">
        <v>0</v>
      </c>
      <c r="C111" s="338">
        <v>0</v>
      </c>
      <c r="D111" s="67" t="s">
        <v>110</v>
      </c>
    </row>
    <row r="112" spans="1:4">
      <c r="A112" s="65" t="s">
        <v>111</v>
      </c>
      <c r="B112" s="84"/>
      <c r="C112" s="344"/>
      <c r="D112" s="70"/>
    </row>
    <row r="113" spans="1:4">
      <c r="A113" s="99" t="s">
        <v>112</v>
      </c>
      <c r="B113" s="73">
        <v>0.28000000000000003</v>
      </c>
      <c r="C113" s="345">
        <v>0.28000000000000003</v>
      </c>
      <c r="D113" s="73">
        <v>0.5</v>
      </c>
    </row>
    <row r="114" spans="1:4">
      <c r="A114" s="99" t="s">
        <v>113</v>
      </c>
      <c r="B114" s="73">
        <v>18.079999999999998</v>
      </c>
      <c r="C114" s="345">
        <v>22.69</v>
      </c>
      <c r="D114" s="73">
        <v>25</v>
      </c>
    </row>
    <row r="115" spans="1:4">
      <c r="A115" s="92" t="s">
        <v>114</v>
      </c>
      <c r="B115" s="73">
        <v>31.92</v>
      </c>
      <c r="C115" s="346">
        <v>28.01</v>
      </c>
      <c r="D115" s="93">
        <v>23</v>
      </c>
    </row>
    <row r="116" spans="1:4">
      <c r="A116" s="92" t="s">
        <v>115</v>
      </c>
      <c r="B116" s="73">
        <v>37.29</v>
      </c>
      <c r="C116" s="346">
        <v>35.85</v>
      </c>
      <c r="D116" s="93">
        <v>38</v>
      </c>
    </row>
    <row r="117" spans="1:4">
      <c r="A117" s="92" t="s">
        <v>116</v>
      </c>
      <c r="B117" s="73">
        <v>12.43</v>
      </c>
      <c r="C117" s="346">
        <v>13.17</v>
      </c>
      <c r="D117" s="93">
        <v>13</v>
      </c>
    </row>
    <row r="118" spans="1:4">
      <c r="A118" s="59" t="s">
        <v>117</v>
      </c>
      <c r="B118" s="78">
        <v>879.75</v>
      </c>
      <c r="C118" s="347">
        <v>252.08</v>
      </c>
      <c r="D118" s="79">
        <v>258.8</v>
      </c>
    </row>
    <row r="119" spans="1:4" ht="14.85" customHeight="1">
      <c r="A119" s="65" t="s">
        <v>118</v>
      </c>
      <c r="B119" s="348"/>
      <c r="C119" s="344"/>
      <c r="D119" s="70"/>
    </row>
    <row r="120" spans="1:4">
      <c r="A120" s="59" t="s">
        <v>119</v>
      </c>
      <c r="B120" s="349">
        <v>29.5</v>
      </c>
      <c r="C120" s="347">
        <v>6</v>
      </c>
      <c r="D120" s="79">
        <v>10.3</v>
      </c>
    </row>
    <row r="121" spans="1:4">
      <c r="A121" s="99" t="s">
        <v>120</v>
      </c>
      <c r="B121" s="73">
        <v>49.8</v>
      </c>
      <c r="C121" s="345">
        <v>40</v>
      </c>
      <c r="D121" s="73">
        <v>56.2</v>
      </c>
    </row>
    <row r="122" spans="1:4">
      <c r="A122" s="59" t="s">
        <v>121</v>
      </c>
      <c r="B122" s="73">
        <v>76</v>
      </c>
      <c r="C122" s="347">
        <v>70.3</v>
      </c>
      <c r="D122" s="79">
        <v>109.1</v>
      </c>
    </row>
    <row r="123" spans="1:4">
      <c r="A123" s="99" t="s">
        <v>122</v>
      </c>
      <c r="B123" s="79">
        <v>74.5</v>
      </c>
      <c r="C123" s="345">
        <v>81.599999999999994</v>
      </c>
      <c r="D123" s="73">
        <v>91.9</v>
      </c>
    </row>
    <row r="124" spans="1:4">
      <c r="A124" s="59" t="s">
        <v>123</v>
      </c>
      <c r="B124" s="73">
        <v>57.4</v>
      </c>
      <c r="C124" s="347">
        <v>49.5</v>
      </c>
      <c r="D124" s="79">
        <v>66.900000000000006</v>
      </c>
    </row>
    <row r="125" spans="1:4">
      <c r="A125" s="65" t="s">
        <v>124</v>
      </c>
      <c r="B125" s="89"/>
      <c r="C125" s="344"/>
      <c r="D125" s="70"/>
    </row>
    <row r="126" spans="1:4">
      <c r="A126" s="99" t="s">
        <v>125</v>
      </c>
      <c r="B126" s="67">
        <v>354</v>
      </c>
      <c r="C126" s="338">
        <v>357</v>
      </c>
      <c r="D126" s="67">
        <v>382</v>
      </c>
    </row>
    <row r="127" spans="1:4">
      <c r="A127" s="59" t="s">
        <v>126</v>
      </c>
      <c r="B127" s="67">
        <v>37</v>
      </c>
      <c r="C127" s="339">
        <v>37</v>
      </c>
      <c r="D127" s="68">
        <v>40</v>
      </c>
    </row>
    <row r="128" spans="1:4">
      <c r="A128" s="99" t="s">
        <v>127</v>
      </c>
      <c r="B128" s="82">
        <v>0.11020000000000001</v>
      </c>
      <c r="C128" s="350">
        <v>0.1905</v>
      </c>
      <c r="D128" s="82">
        <v>0.11260000000000001</v>
      </c>
    </row>
    <row r="129" spans="1:4">
      <c r="A129" s="83" t="s">
        <v>128</v>
      </c>
      <c r="B129" s="84"/>
      <c r="C129" s="351"/>
      <c r="D129" s="85"/>
    </row>
    <row r="130" spans="1:4">
      <c r="A130" s="99" t="s">
        <v>129</v>
      </c>
      <c r="B130" s="86">
        <v>9930</v>
      </c>
      <c r="C130" s="338">
        <v>1341</v>
      </c>
      <c r="D130" s="67">
        <v>4435</v>
      </c>
    </row>
    <row r="131" spans="1:4">
      <c r="A131" s="99" t="s">
        <v>130</v>
      </c>
      <c r="B131" s="67">
        <v>64</v>
      </c>
      <c r="C131" s="338">
        <v>16</v>
      </c>
      <c r="D131" s="67">
        <v>23</v>
      </c>
    </row>
    <row r="132" spans="1:4">
      <c r="A132" s="99" t="s">
        <v>131</v>
      </c>
      <c r="B132" s="67">
        <v>14</v>
      </c>
      <c r="C132" s="338">
        <v>3</v>
      </c>
      <c r="D132" s="67">
        <v>1</v>
      </c>
    </row>
    <row r="133" spans="1:4">
      <c r="A133" s="99" t="s">
        <v>132</v>
      </c>
      <c r="B133" s="67">
        <v>6</v>
      </c>
      <c r="C133" s="338">
        <v>8</v>
      </c>
      <c r="D133" s="67">
        <v>3</v>
      </c>
    </row>
    <row r="134" spans="1:4">
      <c r="A134" s="99" t="s">
        <v>133</v>
      </c>
      <c r="B134" s="86">
        <v>0</v>
      </c>
      <c r="C134" s="338">
        <f>508287/1000</f>
        <v>508.28699999999998</v>
      </c>
      <c r="D134" s="67">
        <v>0</v>
      </c>
    </row>
    <row r="135" spans="1:4" ht="24" customHeight="1">
      <c r="A135" s="414" t="s">
        <v>134</v>
      </c>
      <c r="B135" s="414"/>
      <c r="C135" s="414"/>
      <c r="D135" s="414"/>
    </row>
    <row r="136" spans="1:4">
      <c r="A136" s="65" t="s">
        <v>135</v>
      </c>
      <c r="B136" s="84"/>
      <c r="C136" s="344"/>
      <c r="D136" s="70"/>
    </row>
    <row r="137" spans="1:4">
      <c r="A137" s="99" t="s">
        <v>136</v>
      </c>
      <c r="B137" s="86">
        <v>2077</v>
      </c>
      <c r="C137" s="338">
        <f>2112944/1000</f>
        <v>2112.944</v>
      </c>
      <c r="D137" s="67">
        <v>2042</v>
      </c>
    </row>
    <row r="138" spans="1:4">
      <c r="A138" s="99" t="s">
        <v>137</v>
      </c>
      <c r="B138" s="86">
        <v>283</v>
      </c>
      <c r="C138" s="338">
        <v>324</v>
      </c>
      <c r="D138" s="67">
        <v>327</v>
      </c>
    </row>
    <row r="139" spans="1:4">
      <c r="A139" s="4" t="s">
        <v>138</v>
      </c>
      <c r="B139" s="122">
        <v>2025</v>
      </c>
      <c r="C139" s="211">
        <v>2024</v>
      </c>
      <c r="D139" s="122">
        <v>2023</v>
      </c>
    </row>
    <row r="140" spans="1:4">
      <c r="A140" s="87" t="s">
        <v>139</v>
      </c>
      <c r="B140" s="52"/>
      <c r="C140" s="352"/>
      <c r="D140" s="52"/>
    </row>
    <row r="141" spans="1:4">
      <c r="A141" s="88" t="s">
        <v>140</v>
      </c>
      <c r="B141" s="89"/>
      <c r="C141" s="353"/>
      <c r="D141" s="90"/>
    </row>
    <row r="142" spans="1:4">
      <c r="A142" s="99" t="s">
        <v>141</v>
      </c>
      <c r="B142" s="67">
        <v>0</v>
      </c>
      <c r="C142" s="338">
        <v>3</v>
      </c>
      <c r="D142" s="67">
        <v>0</v>
      </c>
    </row>
    <row r="143" spans="1:4">
      <c r="A143" s="99" t="s">
        <v>142</v>
      </c>
      <c r="B143" s="67">
        <v>0</v>
      </c>
      <c r="C143" s="338">
        <v>1</v>
      </c>
      <c r="D143" s="67">
        <v>0</v>
      </c>
    </row>
    <row r="144" spans="1:4">
      <c r="A144" s="99" t="s">
        <v>143</v>
      </c>
      <c r="B144" s="67">
        <v>2</v>
      </c>
      <c r="C144" s="338">
        <v>9</v>
      </c>
      <c r="D144" s="67">
        <v>0</v>
      </c>
    </row>
    <row r="145" spans="1:4">
      <c r="A145" s="65" t="s">
        <v>144</v>
      </c>
      <c r="B145" s="70"/>
      <c r="C145" s="344"/>
      <c r="D145" s="80"/>
    </row>
    <row r="146" spans="1:4">
      <c r="A146" s="99" t="s">
        <v>145</v>
      </c>
      <c r="B146" s="93" t="s">
        <v>146</v>
      </c>
      <c r="C146" s="93" t="s">
        <v>146</v>
      </c>
      <c r="D146" s="93">
        <f>300000/1000</f>
        <v>300</v>
      </c>
    </row>
    <row r="147" spans="1:4">
      <c r="A147" s="99" t="s">
        <v>147</v>
      </c>
      <c r="B147" s="93">
        <f>2653721.76/1000</f>
        <v>2653.7217599999999</v>
      </c>
      <c r="C147" s="93" t="s">
        <v>146</v>
      </c>
      <c r="D147" s="73">
        <f>1584607/1000</f>
        <v>1584.607</v>
      </c>
    </row>
    <row r="148" spans="1:4">
      <c r="A148" s="99" t="s">
        <v>148</v>
      </c>
      <c r="B148" s="93">
        <f>5545889.43/1000</f>
        <v>5545.8894299999993</v>
      </c>
      <c r="C148" s="93" t="s">
        <v>146</v>
      </c>
      <c r="D148" s="73">
        <f>6701071/1000</f>
        <v>6701.0709999999999</v>
      </c>
    </row>
    <row r="149" spans="1:4">
      <c r="A149" s="99" t="s">
        <v>149</v>
      </c>
      <c r="B149" s="93">
        <f>2772944.72/1000</f>
        <v>2772.9447200000004</v>
      </c>
      <c r="C149" s="93" t="s">
        <v>146</v>
      </c>
      <c r="D149" s="73">
        <f>3350536/1000</f>
        <v>3350.5360000000001</v>
      </c>
    </row>
    <row r="150" spans="1:4">
      <c r="A150" s="99" t="s">
        <v>150</v>
      </c>
      <c r="B150" s="93">
        <f>1505695.32/1000</f>
        <v>1505.69532</v>
      </c>
      <c r="C150" s="93">
        <v>0</v>
      </c>
      <c r="D150" s="73">
        <v>0</v>
      </c>
    </row>
    <row r="151" spans="1:4" ht="24.6">
      <c r="A151" s="99" t="s">
        <v>151</v>
      </c>
      <c r="B151" s="73">
        <v>0</v>
      </c>
      <c r="C151" s="345">
        <v>0</v>
      </c>
      <c r="D151" s="73">
        <v>0</v>
      </c>
    </row>
    <row r="152" spans="1:4" ht="24.6">
      <c r="A152" s="99" t="s">
        <v>152</v>
      </c>
      <c r="B152" s="73">
        <v>0</v>
      </c>
      <c r="C152" s="345">
        <v>0</v>
      </c>
      <c r="D152" s="73">
        <v>0</v>
      </c>
    </row>
    <row r="153" spans="1:4">
      <c r="A153" s="196" t="s">
        <v>153</v>
      </c>
      <c r="B153" s="247"/>
      <c r="C153" s="247"/>
      <c r="D153" s="247"/>
    </row>
    <row r="154" spans="1:4" ht="23.1" customHeight="1">
      <c r="A154" s="412" t="s">
        <v>154</v>
      </c>
      <c r="B154" s="412"/>
      <c r="C154" s="412"/>
      <c r="D154" s="412"/>
    </row>
    <row r="155" spans="1:4" ht="14.85" customHeight="1">
      <c r="A155" s="354" t="s">
        <v>155</v>
      </c>
      <c r="B155" s="355">
        <f>12478251.23/1000</f>
        <v>12478.25123</v>
      </c>
      <c r="C155" s="355">
        <f>15924593.98/1000</f>
        <v>15924.59398</v>
      </c>
      <c r="D155" s="356">
        <f>12457260/1000</f>
        <v>12457.26</v>
      </c>
    </row>
    <row r="156" spans="1:4" ht="14.85" customHeight="1">
      <c r="A156" s="99" t="s">
        <v>156</v>
      </c>
      <c r="B156" s="67">
        <v>14</v>
      </c>
      <c r="C156" s="67">
        <v>18</v>
      </c>
      <c r="D156" s="67">
        <v>16</v>
      </c>
    </row>
    <row r="157" spans="1:4">
      <c r="A157" s="59" t="s">
        <v>157</v>
      </c>
      <c r="B157" s="67">
        <f>2772944.72/1000</f>
        <v>2772.9447200000004</v>
      </c>
      <c r="C157" s="68">
        <f>3981155/1000</f>
        <v>3981.1550000000002</v>
      </c>
      <c r="D157" s="68">
        <f>3350536/1000</f>
        <v>3350.5360000000001</v>
      </c>
    </row>
    <row r="158" spans="1:4" ht="14.85" customHeight="1">
      <c r="A158" s="99" t="s">
        <v>158</v>
      </c>
      <c r="B158" s="95" t="s">
        <v>159</v>
      </c>
      <c r="C158" s="67" t="s">
        <v>159</v>
      </c>
      <c r="D158" s="72" t="s">
        <v>159</v>
      </c>
    </row>
    <row r="159" spans="1:4" ht="24">
      <c r="A159" s="201" t="s">
        <v>160</v>
      </c>
      <c r="B159" s="95" t="s">
        <v>161</v>
      </c>
      <c r="C159" s="95" t="s">
        <v>161</v>
      </c>
      <c r="D159" s="95" t="s">
        <v>161</v>
      </c>
    </row>
    <row r="160" spans="1:4">
      <c r="A160" s="4" t="s">
        <v>162</v>
      </c>
      <c r="B160" s="122">
        <v>2025</v>
      </c>
      <c r="C160" s="122">
        <v>2024</v>
      </c>
      <c r="D160" s="122">
        <v>2023</v>
      </c>
    </row>
    <row r="161" spans="1:4">
      <c r="A161" s="87" t="s">
        <v>163</v>
      </c>
      <c r="B161" s="357"/>
      <c r="C161" s="357"/>
      <c r="D161" s="357"/>
    </row>
    <row r="162" spans="1:4">
      <c r="A162" s="88" t="s">
        <v>164</v>
      </c>
      <c r="B162" s="358"/>
      <c r="C162" s="358"/>
      <c r="D162" s="359"/>
    </row>
    <row r="163" spans="1:4" ht="24.6">
      <c r="A163" s="99" t="s">
        <v>165</v>
      </c>
      <c r="B163" s="72">
        <v>1389.95</v>
      </c>
      <c r="C163" s="72">
        <v>1479.03</v>
      </c>
      <c r="D163" s="72">
        <v>873.32799999999997</v>
      </c>
    </row>
    <row r="164" spans="1:4" ht="24.6">
      <c r="A164" s="99" t="s">
        <v>166</v>
      </c>
      <c r="B164" s="200">
        <v>0.13</v>
      </c>
      <c r="C164" s="98">
        <v>0.126</v>
      </c>
      <c r="D164" s="98">
        <v>0.15079999999999999</v>
      </c>
    </row>
    <row r="165" spans="1:4" ht="24" customHeight="1">
      <c r="A165" s="413" t="s">
        <v>167</v>
      </c>
      <c r="B165" s="413"/>
      <c r="C165" s="413"/>
      <c r="D165" s="413"/>
    </row>
    <row r="166" spans="1:4">
      <c r="A166" s="65" t="s">
        <v>168</v>
      </c>
      <c r="B166" s="360"/>
      <c r="C166" s="360"/>
      <c r="D166" s="361"/>
    </row>
    <row r="167" spans="1:4" ht="14.85" customHeight="1">
      <c r="A167" s="99" t="s">
        <v>169</v>
      </c>
      <c r="B167" s="72">
        <f>SUM(B170,B169,B168)</f>
        <v>9121.35</v>
      </c>
      <c r="C167" s="72">
        <f>C170+C169+C168</f>
        <v>9121.35</v>
      </c>
      <c r="D167" s="72">
        <f>D170+D169+D168</f>
        <v>9325.7000000000007</v>
      </c>
    </row>
    <row r="168" spans="1:4">
      <c r="A168" s="99" t="s">
        <v>170</v>
      </c>
      <c r="B168" s="72">
        <v>0</v>
      </c>
      <c r="C168" s="72">
        <v>0</v>
      </c>
      <c r="D168" s="72">
        <v>0</v>
      </c>
    </row>
    <row r="169" spans="1:4">
      <c r="A169" s="99" t="s">
        <v>171</v>
      </c>
      <c r="B169" s="72">
        <v>4561.3500000000004</v>
      </c>
      <c r="C169" s="72">
        <v>4561.3500000000004</v>
      </c>
      <c r="D169" s="72">
        <v>4803.3999999999996</v>
      </c>
    </row>
    <row r="170" spans="1:4">
      <c r="A170" s="92" t="s">
        <v>172</v>
      </c>
      <c r="B170" s="72">
        <v>4560</v>
      </c>
      <c r="C170" s="102">
        <v>4560</v>
      </c>
      <c r="D170" s="102">
        <v>4522.3</v>
      </c>
    </row>
    <row r="171" spans="1:4" ht="34.35" customHeight="1">
      <c r="A171" s="413" t="s">
        <v>173</v>
      </c>
      <c r="B171" s="413"/>
      <c r="C171" s="413"/>
      <c r="D171" s="413"/>
    </row>
    <row r="172" spans="1:4" ht="14.85" customHeight="1">
      <c r="A172" s="88" t="s">
        <v>174</v>
      </c>
      <c r="B172" s="89"/>
      <c r="C172" s="89"/>
      <c r="D172" s="89"/>
    </row>
    <row r="173" spans="1:4" ht="14.85" customHeight="1">
      <c r="A173" s="92" t="s">
        <v>175</v>
      </c>
      <c r="B173" s="116">
        <v>0</v>
      </c>
      <c r="C173" s="116">
        <v>0</v>
      </c>
      <c r="D173" s="93">
        <v>602</v>
      </c>
    </row>
    <row r="174" spans="1:4">
      <c r="A174" s="114" t="s">
        <v>176</v>
      </c>
      <c r="B174" s="115">
        <v>0</v>
      </c>
      <c r="C174" s="116">
        <v>0</v>
      </c>
      <c r="D174" s="116">
        <v>0</v>
      </c>
    </row>
    <row r="175" spans="1:4" ht="36" customHeight="1">
      <c r="A175" s="418" t="s">
        <v>177</v>
      </c>
      <c r="B175" s="418"/>
      <c r="C175" s="418"/>
      <c r="D175" s="418"/>
    </row>
    <row r="176" spans="1:4" ht="14.85" customHeight="1">
      <c r="A176" s="87" t="s">
        <v>178</v>
      </c>
      <c r="B176" s="352"/>
      <c r="C176" s="352"/>
      <c r="D176" s="352"/>
    </row>
    <row r="177" spans="1:4">
      <c r="A177" s="88" t="s">
        <v>179</v>
      </c>
      <c r="B177" s="362">
        <f>SUM(B178,B183)</f>
        <v>4232.92</v>
      </c>
      <c r="C177" s="362">
        <f>SUM(C178,C183)</f>
        <v>2745.4700000000003</v>
      </c>
      <c r="D177" s="363">
        <f>SUM(D178,D183)</f>
        <v>3489.33</v>
      </c>
    </row>
    <row r="178" spans="1:4">
      <c r="A178" s="65" t="s">
        <v>180</v>
      </c>
      <c r="B178" s="364">
        <f>SUM(B179:B182)</f>
        <v>3068.27</v>
      </c>
      <c r="C178" s="364">
        <f>SUM(C179,C180,C181,C182)</f>
        <v>2256.9</v>
      </c>
      <c r="D178" s="365">
        <f>SUM(D179:D182)</f>
        <v>3105.5</v>
      </c>
    </row>
    <row r="179" spans="1:4">
      <c r="A179" s="99" t="s">
        <v>181</v>
      </c>
      <c r="B179" s="72">
        <v>2489.87</v>
      </c>
      <c r="C179" s="72">
        <v>1730.93</v>
      </c>
      <c r="D179" s="72">
        <v>2448.14</v>
      </c>
    </row>
    <row r="180" spans="1:4">
      <c r="A180" s="99" t="s">
        <v>182</v>
      </c>
      <c r="B180" s="72">
        <v>578.4</v>
      </c>
      <c r="C180" s="72">
        <v>525.97</v>
      </c>
      <c r="D180" s="72">
        <v>657.36</v>
      </c>
    </row>
    <row r="181" spans="1:4">
      <c r="A181" s="99" t="s">
        <v>183</v>
      </c>
      <c r="B181" s="72">
        <v>0</v>
      </c>
      <c r="C181" s="72">
        <v>0</v>
      </c>
      <c r="D181" s="72">
        <v>0</v>
      </c>
    </row>
    <row r="182" spans="1:4">
      <c r="A182" s="99" t="s">
        <v>184</v>
      </c>
      <c r="B182" s="72">
        <v>0</v>
      </c>
      <c r="C182" s="72">
        <v>0</v>
      </c>
      <c r="D182" s="72">
        <v>0</v>
      </c>
    </row>
    <row r="183" spans="1:4">
      <c r="A183" s="65" t="s">
        <v>185</v>
      </c>
      <c r="B183" s="105">
        <f>SUM(B184,B185)</f>
        <v>1164.6500000000001</v>
      </c>
      <c r="C183" s="105">
        <f>SUM(C184:C185)</f>
        <v>488.57</v>
      </c>
      <c r="D183" s="105">
        <f>SUM(D184:D185)</f>
        <v>383.83000000000004</v>
      </c>
    </row>
    <row r="184" spans="1:4">
      <c r="A184" s="99" t="s">
        <v>186</v>
      </c>
      <c r="B184" s="72">
        <v>217.07</v>
      </c>
      <c r="C184" s="72">
        <v>13.45</v>
      </c>
      <c r="D184" s="72">
        <v>22.91</v>
      </c>
    </row>
    <row r="185" spans="1:4">
      <c r="A185" s="59" t="s">
        <v>187</v>
      </c>
      <c r="B185" s="106">
        <v>947.58</v>
      </c>
      <c r="C185" s="108">
        <v>475.12</v>
      </c>
      <c r="D185" s="108">
        <v>360.92</v>
      </c>
    </row>
    <row r="186" spans="1:4">
      <c r="A186" s="99" t="s">
        <v>188</v>
      </c>
      <c r="B186" s="106">
        <v>78956208</v>
      </c>
      <c r="C186" s="72">
        <f>C14*3600</f>
        <v>68915520</v>
      </c>
      <c r="D186" s="67">
        <v>67967647</v>
      </c>
    </row>
    <row r="187" spans="1:4">
      <c r="A187" s="99" t="s">
        <v>189</v>
      </c>
      <c r="B187" s="366">
        <f>B177/B186</f>
        <v>5.3610983952015531E-5</v>
      </c>
      <c r="C187" s="367">
        <f>C177/C186</f>
        <v>3.9838196098643678E-5</v>
      </c>
      <c r="D187" s="366">
        <f>D177/D186</f>
        <v>5.1338102082598209E-5</v>
      </c>
    </row>
    <row r="188" spans="1:4">
      <c r="A188" s="65" t="s">
        <v>190</v>
      </c>
      <c r="B188" s="94"/>
      <c r="C188" s="70"/>
      <c r="D188" s="70"/>
    </row>
    <row r="189" spans="1:4">
      <c r="A189" s="92" t="s">
        <v>191</v>
      </c>
      <c r="B189" s="94">
        <v>0</v>
      </c>
      <c r="C189" s="94">
        <v>0</v>
      </c>
      <c r="D189" s="94">
        <v>0</v>
      </c>
    </row>
    <row r="190" spans="1:4">
      <c r="A190" s="92" t="s">
        <v>192</v>
      </c>
      <c r="B190" s="93">
        <v>22140</v>
      </c>
      <c r="C190" s="93">
        <v>22140</v>
      </c>
      <c r="D190" s="93">
        <v>22140</v>
      </c>
    </row>
    <row r="191" spans="1:4">
      <c r="A191" s="92" t="s">
        <v>193</v>
      </c>
      <c r="B191" s="94">
        <v>4320</v>
      </c>
      <c r="C191" s="94">
        <v>4320</v>
      </c>
      <c r="D191" s="94">
        <v>7380</v>
      </c>
    </row>
    <row r="192" spans="1:4">
      <c r="A192" s="92" t="s">
        <v>194</v>
      </c>
      <c r="B192" s="93">
        <v>310</v>
      </c>
      <c r="C192" s="93">
        <v>310</v>
      </c>
      <c r="D192" s="93"/>
    </row>
    <row r="193" spans="1:4">
      <c r="A193" s="88" t="s">
        <v>195</v>
      </c>
      <c r="B193" s="368">
        <v>26770</v>
      </c>
      <c r="C193" s="368">
        <f>SUM(C189:C192)</f>
        <v>26770</v>
      </c>
      <c r="D193" s="368">
        <v>29520</v>
      </c>
    </row>
    <row r="194" spans="1:4">
      <c r="A194" s="281" t="s">
        <v>196</v>
      </c>
      <c r="B194" s="349">
        <v>0.87</v>
      </c>
      <c r="C194" s="349">
        <v>0.87</v>
      </c>
      <c r="D194" s="349">
        <v>77.28</v>
      </c>
    </row>
    <row r="195" spans="1:4" ht="50.1" customHeight="1">
      <c r="A195" s="415" t="s">
        <v>197</v>
      </c>
      <c r="B195" s="416"/>
      <c r="C195" s="416"/>
      <c r="D195" s="416"/>
    </row>
    <row r="196" spans="1:4">
      <c r="A196" s="117" t="s">
        <v>198</v>
      </c>
      <c r="B196" s="369"/>
      <c r="C196" s="369"/>
      <c r="D196" s="369"/>
    </row>
    <row r="197" spans="1:4" ht="14.85" customHeight="1">
      <c r="A197" s="88" t="s">
        <v>199</v>
      </c>
      <c r="B197" s="358"/>
      <c r="C197" s="358"/>
      <c r="D197" s="358"/>
    </row>
    <row r="198" spans="1:4">
      <c r="A198" s="99" t="s">
        <v>200</v>
      </c>
      <c r="B198" s="67">
        <v>0</v>
      </c>
      <c r="C198" s="67">
        <v>0</v>
      </c>
      <c r="D198" s="67">
        <v>552</v>
      </c>
    </row>
    <row r="199" spans="1:4" ht="24.6">
      <c r="A199" s="99" t="s">
        <v>201</v>
      </c>
      <c r="B199" s="67">
        <v>0</v>
      </c>
      <c r="C199" s="67">
        <v>0</v>
      </c>
      <c r="D199" s="73">
        <v>1.45</v>
      </c>
    </row>
    <row r="200" spans="1:4">
      <c r="A200" s="99" t="s">
        <v>202</v>
      </c>
      <c r="B200" s="67">
        <v>0</v>
      </c>
      <c r="C200" s="67">
        <v>0</v>
      </c>
      <c r="D200" s="67">
        <v>10</v>
      </c>
    </row>
    <row r="201" spans="1:4">
      <c r="A201" s="88" t="s">
        <v>203</v>
      </c>
      <c r="C201" s="89"/>
      <c r="D201" s="89"/>
    </row>
    <row r="202" spans="1:4">
      <c r="A202" s="99" t="s">
        <v>204</v>
      </c>
      <c r="B202" s="67">
        <v>0</v>
      </c>
      <c r="C202" s="67">
        <v>0</v>
      </c>
      <c r="D202" s="67">
        <v>0</v>
      </c>
    </row>
    <row r="203" spans="1:4">
      <c r="A203" s="92" t="s">
        <v>205</v>
      </c>
      <c r="B203" s="67">
        <v>0</v>
      </c>
      <c r="C203" s="94">
        <v>0</v>
      </c>
      <c r="D203" s="94">
        <v>0</v>
      </c>
    </row>
    <row r="204" spans="1:4">
      <c r="A204" s="99" t="s">
        <v>206</v>
      </c>
      <c r="B204" s="67">
        <v>30</v>
      </c>
      <c r="C204" s="67">
        <v>0</v>
      </c>
      <c r="D204" s="67">
        <v>0</v>
      </c>
    </row>
    <row r="205" spans="1:4">
      <c r="A205" s="182" t="s">
        <v>207</v>
      </c>
      <c r="B205" s="183">
        <v>1</v>
      </c>
      <c r="C205" s="183">
        <v>0</v>
      </c>
      <c r="D205" s="183">
        <v>0</v>
      </c>
    </row>
    <row r="206" spans="1:4">
      <c r="A206" s="92" t="s">
        <v>205</v>
      </c>
      <c r="B206" s="94">
        <v>0</v>
      </c>
      <c r="C206" s="94">
        <v>0</v>
      </c>
      <c r="D206" s="94">
        <v>0</v>
      </c>
    </row>
    <row r="207" spans="1:4">
      <c r="A207" s="182" t="s">
        <v>208</v>
      </c>
      <c r="B207" s="183">
        <v>235.4</v>
      </c>
      <c r="C207" s="183">
        <f>344800/1000</f>
        <v>344.8</v>
      </c>
      <c r="D207" s="183">
        <v>0</v>
      </c>
    </row>
    <row r="208" spans="1:4">
      <c r="A208" s="4" t="s">
        <v>209</v>
      </c>
      <c r="B208" s="122">
        <v>2025</v>
      </c>
      <c r="C208" s="122" t="s">
        <v>210</v>
      </c>
      <c r="D208" s="122" t="s">
        <v>211</v>
      </c>
    </row>
    <row r="209" spans="1:13">
      <c r="A209" s="92" t="s">
        <v>212</v>
      </c>
      <c r="B209" s="94">
        <v>21847749.469999999</v>
      </c>
      <c r="C209" s="94">
        <v>23940210</v>
      </c>
      <c r="D209" s="94">
        <v>30790000</v>
      </c>
    </row>
    <row r="210" spans="1:13" ht="24" customHeight="1">
      <c r="A210" s="414" t="s">
        <v>213</v>
      </c>
      <c r="B210" s="414"/>
      <c r="C210" s="414"/>
      <c r="D210" s="414"/>
    </row>
    <row r="211" spans="1:13">
      <c r="A211" s="99" t="s">
        <v>214</v>
      </c>
      <c r="B211" s="67">
        <v>0</v>
      </c>
      <c r="C211" s="67">
        <v>0</v>
      </c>
      <c r="D211" s="67">
        <v>0</v>
      </c>
    </row>
    <row r="212" spans="1:13" ht="14.85" customHeight="1">
      <c r="A212" s="99" t="s">
        <v>215</v>
      </c>
      <c r="B212" s="68">
        <v>100</v>
      </c>
      <c r="C212" s="67">
        <v>101.29</v>
      </c>
      <c r="D212" s="67">
        <v>0</v>
      </c>
    </row>
    <row r="213" spans="1:13">
      <c r="A213" s="59" t="s">
        <v>216</v>
      </c>
      <c r="B213" s="67">
        <v>1395</v>
      </c>
      <c r="C213" s="68">
        <v>1926</v>
      </c>
      <c r="D213" s="68">
        <v>18579</v>
      </c>
    </row>
    <row r="214" spans="1:13">
      <c r="A214" s="99" t="s">
        <v>217</v>
      </c>
      <c r="B214" s="67">
        <v>2100000</v>
      </c>
      <c r="C214" s="67">
        <v>2129200</v>
      </c>
      <c r="D214" s="67">
        <v>2100000</v>
      </c>
    </row>
    <row r="215" spans="1:13" ht="24" customHeight="1">
      <c r="A215" s="413" t="s">
        <v>218</v>
      </c>
      <c r="B215" s="413"/>
      <c r="C215" s="413"/>
      <c r="D215" s="413"/>
    </row>
    <row r="216" spans="1:13" ht="14.85" customHeight="1">
      <c r="A216" s="99" t="s">
        <v>219</v>
      </c>
      <c r="B216" s="67">
        <v>0</v>
      </c>
      <c r="C216" s="67">
        <v>0</v>
      </c>
      <c r="D216" s="67">
        <v>0</v>
      </c>
    </row>
    <row r="217" spans="1:13" ht="24" customHeight="1">
      <c r="A217" s="99" t="s">
        <v>220</v>
      </c>
      <c r="B217" s="67">
        <v>0</v>
      </c>
      <c r="C217" s="67">
        <v>0</v>
      </c>
      <c r="D217" s="67">
        <v>0</v>
      </c>
    </row>
    <row r="218" spans="1:13" ht="24.6">
      <c r="A218" s="99" t="s">
        <v>221</v>
      </c>
      <c r="B218" s="67">
        <v>0</v>
      </c>
      <c r="C218" s="67">
        <v>0</v>
      </c>
      <c r="D218" s="67">
        <v>0</v>
      </c>
    </row>
    <row r="219" spans="1:13">
      <c r="A219" s="99" t="s">
        <v>222</v>
      </c>
      <c r="B219" s="67">
        <v>0</v>
      </c>
      <c r="C219" s="67">
        <v>0</v>
      </c>
      <c r="D219" s="67">
        <v>0</v>
      </c>
    </row>
    <row r="220" spans="1:13" ht="14.85" customHeight="1">
      <c r="A220" s="99"/>
      <c r="B220" s="67"/>
      <c r="C220" s="67"/>
      <c r="D220" s="67"/>
    </row>
    <row r="221" spans="1:13">
      <c r="A221" s="4" t="s">
        <v>223</v>
      </c>
      <c r="B221" s="417" t="s">
        <v>224</v>
      </c>
      <c r="C221" s="417"/>
      <c r="D221" s="417"/>
      <c r="E221" s="417"/>
      <c r="F221" s="410">
        <v>2024</v>
      </c>
      <c r="G221" s="410"/>
      <c r="H221" s="410"/>
      <c r="I221" s="410"/>
      <c r="J221" s="410">
        <v>2023</v>
      </c>
      <c r="K221" s="410"/>
      <c r="L221" s="410"/>
      <c r="M221" s="410"/>
    </row>
    <row r="222" spans="1:13" ht="24" customHeight="1">
      <c r="A222" s="123" t="s">
        <v>225</v>
      </c>
      <c r="B222" s="394" t="s">
        <v>226</v>
      </c>
      <c r="C222" s="394" t="s">
        <v>227</v>
      </c>
      <c r="D222" s="395" t="s">
        <v>228</v>
      </c>
      <c r="E222" s="125" t="s">
        <v>229</v>
      </c>
      <c r="F222" s="124" t="s">
        <v>226</v>
      </c>
      <c r="G222" s="124" t="s">
        <v>227</v>
      </c>
      <c r="H222" s="124" t="s">
        <v>228</v>
      </c>
      <c r="I222" s="125" t="s">
        <v>229</v>
      </c>
      <c r="J222" s="204" t="s">
        <v>226</v>
      </c>
      <c r="K222" s="204" t="s">
        <v>227</v>
      </c>
      <c r="L222" s="204" t="s">
        <v>228</v>
      </c>
      <c r="M222" s="205" t="s">
        <v>229</v>
      </c>
    </row>
    <row r="223" spans="1:13">
      <c r="A223" s="5" t="s">
        <v>230</v>
      </c>
      <c r="B223" s="396">
        <v>4</v>
      </c>
      <c r="C223" s="396">
        <v>5</v>
      </c>
      <c r="D223" s="10">
        <v>0</v>
      </c>
      <c r="E223" s="387">
        <f t="shared" ref="E223:E229" si="0">SUM(B223,C223,D223)</f>
        <v>9</v>
      </c>
      <c r="F223" s="386">
        <v>4</v>
      </c>
      <c r="G223" s="386">
        <v>5</v>
      </c>
      <c r="H223" s="386">
        <v>0</v>
      </c>
      <c r="I223" s="387">
        <f>SUM(F223:H223)</f>
        <v>9</v>
      </c>
      <c r="J223" s="386">
        <v>5</v>
      </c>
      <c r="K223" s="386">
        <v>6</v>
      </c>
      <c r="L223" s="386">
        <v>0</v>
      </c>
      <c r="M223" s="387">
        <f>SUM(J223:L223)</f>
        <v>11</v>
      </c>
    </row>
    <row r="224" spans="1:13">
      <c r="A224" s="146" t="s">
        <v>231</v>
      </c>
      <c r="B224" s="147">
        <v>0</v>
      </c>
      <c r="C224" s="147">
        <v>2</v>
      </c>
      <c r="D224" s="147">
        <v>0</v>
      </c>
      <c r="E224" s="388">
        <f t="shared" si="0"/>
        <v>2</v>
      </c>
      <c r="F224" s="192">
        <v>0</v>
      </c>
      <c r="G224" s="192">
        <v>3</v>
      </c>
      <c r="H224" s="192">
        <v>0</v>
      </c>
      <c r="I224" s="388">
        <f>SUM(F224:H224)</f>
        <v>3</v>
      </c>
      <c r="J224" s="192">
        <v>0</v>
      </c>
      <c r="K224" s="192">
        <v>3</v>
      </c>
      <c r="L224" s="192">
        <v>0</v>
      </c>
      <c r="M224" s="388">
        <f t="shared" ref="M224" si="1">SUM(J224:L224)</f>
        <v>3</v>
      </c>
    </row>
    <row r="225" spans="1:13">
      <c r="A225" s="253" t="s">
        <v>232</v>
      </c>
      <c r="B225" s="389">
        <f>SUM(B226:B229)</f>
        <v>0</v>
      </c>
      <c r="C225" s="389">
        <f>SUM(C229,C228,C227,C226)</f>
        <v>2389.08</v>
      </c>
      <c r="D225" s="389">
        <f>SUM(D226:D229)</f>
        <v>0</v>
      </c>
      <c r="E225" s="390">
        <f t="shared" si="0"/>
        <v>2389.08</v>
      </c>
      <c r="F225" s="389">
        <f>SUM(F226:F229)</f>
        <v>0</v>
      </c>
      <c r="G225" s="389">
        <f>SUM(G226:G229)</f>
        <v>4119.57</v>
      </c>
      <c r="H225" s="389">
        <f>SUM(H226:H229)</f>
        <v>0</v>
      </c>
      <c r="I225" s="390">
        <f>SUM(F225:H225)</f>
        <v>4119.57</v>
      </c>
      <c r="J225" s="389">
        <f>SUM(J226:J229)</f>
        <v>0</v>
      </c>
      <c r="K225" s="389">
        <f>SUM(K226:K229)</f>
        <v>3443.1000000000004</v>
      </c>
      <c r="L225" s="389">
        <f>SUM(L226:L229)</f>
        <v>0</v>
      </c>
      <c r="M225" s="390">
        <f>SUM(J225:L225)</f>
        <v>3443.1000000000004</v>
      </c>
    </row>
    <row r="226" spans="1:13">
      <c r="A226" s="146" t="s">
        <v>233</v>
      </c>
      <c r="B226" s="147">
        <v>0</v>
      </c>
      <c r="C226" s="147">
        <v>1965.7</v>
      </c>
      <c r="D226" s="147">
        <v>0</v>
      </c>
      <c r="E226" s="391">
        <f t="shared" si="0"/>
        <v>1965.7</v>
      </c>
      <c r="F226" s="147">
        <v>0</v>
      </c>
      <c r="G226" s="147">
        <v>3598.91</v>
      </c>
      <c r="H226" s="147">
        <v>0</v>
      </c>
      <c r="I226" s="391">
        <f t="shared" ref="I226:I235" si="2">SUM(F226:H226)</f>
        <v>3598.91</v>
      </c>
      <c r="J226" s="147">
        <v>0</v>
      </c>
      <c r="K226" s="147">
        <v>2533.88</v>
      </c>
      <c r="L226" s="147">
        <v>0</v>
      </c>
      <c r="M226" s="391">
        <f t="shared" ref="M226:M235" si="3">SUM(J226:L226)</f>
        <v>2533.88</v>
      </c>
    </row>
    <row r="227" spans="1:13">
      <c r="A227" s="146" t="s">
        <v>234</v>
      </c>
      <c r="B227" s="147">
        <v>0</v>
      </c>
      <c r="C227" s="147">
        <v>423.38</v>
      </c>
      <c r="D227" s="147">
        <v>0</v>
      </c>
      <c r="E227" s="391">
        <f t="shared" si="0"/>
        <v>423.38</v>
      </c>
      <c r="F227" s="147">
        <v>0</v>
      </c>
      <c r="G227" s="147">
        <v>520.66</v>
      </c>
      <c r="H227" s="147">
        <v>0</v>
      </c>
      <c r="I227" s="391">
        <f t="shared" si="2"/>
        <v>520.66</v>
      </c>
      <c r="J227" s="147">
        <v>0</v>
      </c>
      <c r="K227" s="147">
        <v>424.21</v>
      </c>
      <c r="L227" s="147">
        <v>0</v>
      </c>
      <c r="M227" s="391">
        <f t="shared" si="3"/>
        <v>424.21</v>
      </c>
    </row>
    <row r="228" spans="1:13">
      <c r="A228" s="146" t="s">
        <v>235</v>
      </c>
      <c r="B228" s="147">
        <v>0</v>
      </c>
      <c r="C228" s="147">
        <v>0</v>
      </c>
      <c r="D228" s="147">
        <v>0</v>
      </c>
      <c r="E228" s="391">
        <f t="shared" si="0"/>
        <v>0</v>
      </c>
      <c r="F228" s="147">
        <v>0</v>
      </c>
      <c r="G228" s="147">
        <v>0</v>
      </c>
      <c r="H228" s="147">
        <v>0</v>
      </c>
      <c r="I228" s="391">
        <f t="shared" si="2"/>
        <v>0</v>
      </c>
      <c r="J228" s="147">
        <v>0</v>
      </c>
      <c r="K228" s="147">
        <v>0</v>
      </c>
      <c r="L228" s="147">
        <v>0</v>
      </c>
      <c r="M228" s="391">
        <f t="shared" si="3"/>
        <v>0</v>
      </c>
    </row>
    <row r="229" spans="1:13">
      <c r="A229" s="92" t="s">
        <v>236</v>
      </c>
      <c r="B229" s="102">
        <v>0</v>
      </c>
      <c r="C229" s="102">
        <v>0</v>
      </c>
      <c r="D229" s="102">
        <v>0</v>
      </c>
      <c r="E229" s="392">
        <f t="shared" si="0"/>
        <v>0</v>
      </c>
      <c r="F229" s="102">
        <v>0</v>
      </c>
      <c r="G229" s="102">
        <v>0</v>
      </c>
      <c r="H229" s="102">
        <v>0</v>
      </c>
      <c r="I229" s="392">
        <f t="shared" si="2"/>
        <v>0</v>
      </c>
      <c r="J229" s="102">
        <v>0</v>
      </c>
      <c r="K229" s="102">
        <v>485.01</v>
      </c>
      <c r="L229" s="102">
        <v>0</v>
      </c>
      <c r="M229" s="392">
        <f t="shared" si="3"/>
        <v>485.01</v>
      </c>
    </row>
    <row r="230" spans="1:13">
      <c r="A230" s="65" t="s">
        <v>237</v>
      </c>
      <c r="B230" s="143">
        <f>SUM(B231:B235)</f>
        <v>0</v>
      </c>
      <c r="C230" s="143">
        <f>SUM(C231:C235)</f>
        <v>1019.3</v>
      </c>
      <c r="D230" s="143">
        <f>SUM(D231:D235)</f>
        <v>0</v>
      </c>
      <c r="E230" s="384">
        <f t="shared" ref="E230:E235" si="4">SUM(B230:D230)</f>
        <v>1019.3</v>
      </c>
      <c r="F230" s="143">
        <f>SUM(F231:F235)</f>
        <v>0</v>
      </c>
      <c r="G230" s="143">
        <f>SUM(G231:G235)</f>
        <v>1555.8600000000001</v>
      </c>
      <c r="H230" s="143">
        <f>SUM(H231:H235)</f>
        <v>0</v>
      </c>
      <c r="I230" s="208">
        <f>SUM(F230:H230)</f>
        <v>1555.8600000000001</v>
      </c>
      <c r="J230" s="143">
        <f>SUM(J231:J235)</f>
        <v>0</v>
      </c>
      <c r="K230" s="143">
        <f>SUM(K231:K235)</f>
        <v>927.06000000000006</v>
      </c>
      <c r="L230" s="143">
        <f>SUM(L231:L235)</f>
        <v>0</v>
      </c>
      <c r="M230" s="208">
        <f t="shared" si="3"/>
        <v>927.06000000000006</v>
      </c>
    </row>
    <row r="231" spans="1:13">
      <c r="A231" s="99" t="s">
        <v>238</v>
      </c>
      <c r="B231" s="72">
        <v>0</v>
      </c>
      <c r="C231" s="72">
        <v>890.73</v>
      </c>
      <c r="D231" s="72">
        <v>0</v>
      </c>
      <c r="E231" s="135">
        <f t="shared" si="4"/>
        <v>890.73</v>
      </c>
      <c r="F231" s="72">
        <v>0</v>
      </c>
      <c r="G231" s="72">
        <v>800.6</v>
      </c>
      <c r="H231" s="72">
        <v>0</v>
      </c>
      <c r="I231" s="208">
        <f>SUM(F231:H231)</f>
        <v>800.6</v>
      </c>
      <c r="J231" s="72">
        <v>0</v>
      </c>
      <c r="K231" s="72">
        <v>202.71</v>
      </c>
      <c r="L231" s="72">
        <v>0</v>
      </c>
      <c r="M231" s="208">
        <f t="shared" si="3"/>
        <v>202.71</v>
      </c>
    </row>
    <row r="232" spans="1:13">
      <c r="A232" s="99" t="s">
        <v>239</v>
      </c>
      <c r="B232" s="72">
        <v>0</v>
      </c>
      <c r="C232" s="72">
        <v>128.57</v>
      </c>
      <c r="D232" s="72">
        <v>0</v>
      </c>
      <c r="E232" s="135">
        <f t="shared" si="4"/>
        <v>128.57</v>
      </c>
      <c r="F232" s="72">
        <v>0</v>
      </c>
      <c r="G232" s="72">
        <v>755.26</v>
      </c>
      <c r="H232" s="72">
        <v>0</v>
      </c>
      <c r="I232" s="208">
        <f t="shared" si="2"/>
        <v>755.26</v>
      </c>
      <c r="J232" s="72">
        <v>0</v>
      </c>
      <c r="K232" s="72">
        <v>724.35</v>
      </c>
      <c r="L232" s="72">
        <v>0</v>
      </c>
      <c r="M232" s="208">
        <f t="shared" si="3"/>
        <v>724.35</v>
      </c>
    </row>
    <row r="233" spans="1:13">
      <c r="A233" s="59" t="s">
        <v>240</v>
      </c>
      <c r="B233" s="72">
        <v>0</v>
      </c>
      <c r="C233" s="72">
        <v>0</v>
      </c>
      <c r="D233" s="72">
        <v>0</v>
      </c>
      <c r="E233" s="135">
        <f t="shared" si="4"/>
        <v>0</v>
      </c>
      <c r="F233" s="108">
        <v>0</v>
      </c>
      <c r="G233" s="108">
        <v>0</v>
      </c>
      <c r="H233" s="108">
        <v>0</v>
      </c>
      <c r="I233" s="209">
        <f t="shared" si="2"/>
        <v>0</v>
      </c>
      <c r="J233" s="108">
        <v>0</v>
      </c>
      <c r="K233" s="108">
        <v>0</v>
      </c>
      <c r="L233" s="108">
        <v>0</v>
      </c>
      <c r="M233" s="209">
        <f t="shared" si="3"/>
        <v>0</v>
      </c>
    </row>
    <row r="234" spans="1:13">
      <c r="A234" s="99" t="s">
        <v>241</v>
      </c>
      <c r="B234" s="72">
        <v>0</v>
      </c>
      <c r="C234" s="72">
        <v>0</v>
      </c>
      <c r="D234" s="72">
        <v>0</v>
      </c>
      <c r="E234" s="135">
        <f t="shared" si="4"/>
        <v>0</v>
      </c>
      <c r="F234" s="72">
        <v>0</v>
      </c>
      <c r="G234" s="72">
        <v>0</v>
      </c>
      <c r="H234" s="72">
        <v>0</v>
      </c>
      <c r="I234" s="208">
        <f t="shared" si="2"/>
        <v>0</v>
      </c>
      <c r="J234" s="72">
        <v>0</v>
      </c>
      <c r="K234" s="72">
        <v>0</v>
      </c>
      <c r="L234" s="72">
        <v>0</v>
      </c>
      <c r="M234" s="208">
        <f t="shared" si="3"/>
        <v>0</v>
      </c>
    </row>
    <row r="235" spans="1:13">
      <c r="A235" s="99" t="s">
        <v>236</v>
      </c>
      <c r="B235" s="72">
        <v>0</v>
      </c>
      <c r="C235" s="72">
        <v>0</v>
      </c>
      <c r="D235" s="72">
        <v>0</v>
      </c>
      <c r="E235" s="135">
        <f t="shared" si="4"/>
        <v>0</v>
      </c>
      <c r="F235" s="72">
        <v>0</v>
      </c>
      <c r="G235" s="72">
        <v>0</v>
      </c>
      <c r="H235" s="72">
        <v>0</v>
      </c>
      <c r="I235" s="208">
        <f t="shared" si="2"/>
        <v>0</v>
      </c>
      <c r="J235" s="72">
        <v>0</v>
      </c>
      <c r="K235" s="72">
        <v>0</v>
      </c>
      <c r="L235" s="72">
        <v>0</v>
      </c>
      <c r="M235" s="208">
        <f t="shared" si="3"/>
        <v>0</v>
      </c>
    </row>
    <row r="236" spans="1:13">
      <c r="A236" s="65" t="s">
        <v>242</v>
      </c>
      <c r="B236" s="72"/>
      <c r="C236" s="72"/>
      <c r="D236" s="72"/>
      <c r="E236" s="384">
        <f>E230+E225</f>
        <v>3408.38</v>
      </c>
      <c r="F236" s="143"/>
      <c r="G236" s="143"/>
      <c r="H236" s="143"/>
      <c r="I236" s="207">
        <f>I230+I225</f>
        <v>5675.43</v>
      </c>
      <c r="J236" s="143"/>
      <c r="K236" s="143"/>
      <c r="L236" s="143"/>
      <c r="M236" s="207">
        <f>M225+M230</f>
        <v>4370.1600000000008</v>
      </c>
    </row>
    <row r="237" spans="1:13" ht="14.85" customHeight="1">
      <c r="A237" s="370" t="s">
        <v>243</v>
      </c>
      <c r="B237" s="138"/>
      <c r="C237" s="138"/>
      <c r="D237" s="138"/>
    </row>
    <row r="238" spans="1:13" ht="15" customHeight="1"/>
    <row r="239" spans="1:13" ht="24">
      <c r="A239" s="4" t="s">
        <v>244</v>
      </c>
      <c r="B239" s="122" t="s">
        <v>245</v>
      </c>
      <c r="C239" s="122" t="s">
        <v>246</v>
      </c>
      <c r="D239" s="122" t="s">
        <v>247</v>
      </c>
      <c r="E239" s="122" t="s">
        <v>248</v>
      </c>
      <c r="F239" s="122" t="s">
        <v>249</v>
      </c>
      <c r="G239" s="122" t="s">
        <v>250</v>
      </c>
    </row>
    <row r="240" spans="1:13" ht="24.6">
      <c r="A240" s="123" t="s">
        <v>251</v>
      </c>
      <c r="B240" s="123"/>
      <c r="C240" s="124"/>
      <c r="D240" s="397"/>
      <c r="E240" s="124"/>
      <c r="F240" s="397"/>
      <c r="G240" s="124"/>
    </row>
    <row r="241" spans="1:7">
      <c r="A241" s="5" t="s">
        <v>252</v>
      </c>
      <c r="B241" s="10">
        <f>11269730.65/1000</f>
        <v>11269.73065</v>
      </c>
      <c r="C241" s="10">
        <f t="shared" ref="C241:C252" si="5">(B241/$B$253)*100</f>
        <v>61.255346637249076</v>
      </c>
      <c r="D241" s="8">
        <f>4433241.14/1000</f>
        <v>4433.2411400000001</v>
      </c>
      <c r="E241" s="10">
        <f>(IFERROR(D241/$D$253,0))*100</f>
        <v>43.851922248216738</v>
      </c>
      <c r="F241" s="8">
        <v>6557.78</v>
      </c>
      <c r="G241" s="10">
        <f ca="1">(F241/$F$253)*100</f>
        <v>9.4280796551375126</v>
      </c>
    </row>
    <row r="242" spans="1:7">
      <c r="A242" s="146" t="s">
        <v>253</v>
      </c>
      <c r="B242" s="147">
        <v>0</v>
      </c>
      <c r="C242" s="147">
        <f t="shared" si="5"/>
        <v>0</v>
      </c>
      <c r="D242" s="147">
        <v>0</v>
      </c>
      <c r="E242" s="147">
        <f>IFERROR(D242/$D$253,0)</f>
        <v>0</v>
      </c>
      <c r="F242" s="147">
        <v>0</v>
      </c>
      <c r="G242" s="147">
        <f ca="1">F242/$F$253</f>
        <v>0</v>
      </c>
    </row>
    <row r="243" spans="1:7">
      <c r="A243" s="146" t="s">
        <v>254</v>
      </c>
      <c r="B243" s="147">
        <v>0</v>
      </c>
      <c r="C243" s="147">
        <f t="shared" si="5"/>
        <v>0</v>
      </c>
      <c r="D243" s="147">
        <v>0</v>
      </c>
      <c r="E243" s="147">
        <f>IFERROR(D243/$D$253,0)</f>
        <v>0</v>
      </c>
      <c r="F243" s="147">
        <v>0</v>
      </c>
      <c r="G243" s="147">
        <f ca="1">F243/$F$253</f>
        <v>0</v>
      </c>
    </row>
    <row r="244" spans="1:7">
      <c r="A244" s="146" t="s">
        <v>255</v>
      </c>
      <c r="B244" s="147">
        <f>3075208.57/1000</f>
        <v>3075.2085699999998</v>
      </c>
      <c r="C244" s="147">
        <f t="shared" si="5"/>
        <v>16.714948456837256</v>
      </c>
      <c r="D244" s="147">
        <f>1778056.63/1000</f>
        <v>1778.0566299999998</v>
      </c>
      <c r="E244" s="147">
        <f>(IFERROR(D244/$D$253,0))*100</f>
        <v>17.587854716083925</v>
      </c>
      <c r="F244" s="147">
        <v>4349.38</v>
      </c>
      <c r="G244" s="147">
        <f ca="1">(F244/$F$253)*100</f>
        <v>5.0024613317875257</v>
      </c>
    </row>
    <row r="245" spans="1:7">
      <c r="A245" s="146" t="s">
        <v>256</v>
      </c>
      <c r="B245" s="147">
        <f>1697180.03/1000</f>
        <v>1697.18003</v>
      </c>
      <c r="C245" s="147">
        <f t="shared" si="5"/>
        <v>9.2248301465365348</v>
      </c>
      <c r="D245" s="147">
        <f>726465.2/1000</f>
        <v>726.46519999999998</v>
      </c>
      <c r="E245" s="147">
        <f>(IFERROR(D245/$D$253,0))*100</f>
        <v>7.1859153293058222</v>
      </c>
      <c r="F245" s="147">
        <v>2547.5700000000002</v>
      </c>
      <c r="G245" s="147">
        <f ca="1">(F245/$F$253)*100</f>
        <v>3.6626255969304666</v>
      </c>
    </row>
    <row r="246" spans="1:7">
      <c r="A246" s="146" t="s">
        <v>257</v>
      </c>
      <c r="B246" s="147">
        <v>0</v>
      </c>
      <c r="C246" s="147">
        <f t="shared" si="5"/>
        <v>0</v>
      </c>
      <c r="D246" s="147">
        <v>0</v>
      </c>
      <c r="E246" s="147">
        <f>IFERROR(D246/$D$253,0)</f>
        <v>0</v>
      </c>
      <c r="F246" s="147">
        <v>0</v>
      </c>
      <c r="G246" s="147">
        <f ca="1">F246/$F$253</f>
        <v>0</v>
      </c>
    </row>
    <row r="247" spans="1:7">
      <c r="A247" s="146" t="s">
        <v>258</v>
      </c>
      <c r="B247" s="147">
        <f>1300370.09/1000</f>
        <v>1300.3700900000001</v>
      </c>
      <c r="C247" s="147">
        <f t="shared" si="5"/>
        <v>7.0680145864587081</v>
      </c>
      <c r="D247" s="147">
        <f>2192605.1/1000</f>
        <v>2192.6051000000002</v>
      </c>
      <c r="E247" s="147">
        <f>(IFERROR(D247/$D$253,0))*100</f>
        <v>21.688409299171013</v>
      </c>
      <c r="F247" s="147">
        <v>1220.3</v>
      </c>
      <c r="G247" s="147">
        <f ca="1">(F247/$F$253)*100</f>
        <v>1.7544177455120948</v>
      </c>
    </row>
    <row r="248" spans="1:7">
      <c r="A248" s="146" t="s">
        <v>259</v>
      </c>
      <c r="B248" s="147">
        <f>119782.09/1000</f>
        <v>119.78209</v>
      </c>
      <c r="C248" s="147">
        <f t="shared" si="5"/>
        <v>0.65106200598362718</v>
      </c>
      <c r="D248" s="147">
        <f>342945.18/1000</f>
        <v>342.94517999999999</v>
      </c>
      <c r="E248" s="147">
        <f>(IFERROR(D248/$D$253,0))*100</f>
        <v>3.3922822814823679</v>
      </c>
      <c r="F248" s="147">
        <v>1322.38</v>
      </c>
      <c r="G248" s="147">
        <f ca="1">(F248/$F$253)*100</f>
        <v>1.901177528730873</v>
      </c>
    </row>
    <row r="249" spans="1:7">
      <c r="A249" s="146" t="s">
        <v>260</v>
      </c>
      <c r="B249" s="147">
        <v>0</v>
      </c>
      <c r="C249" s="147">
        <f t="shared" si="5"/>
        <v>0</v>
      </c>
      <c r="D249" s="147">
        <v>0</v>
      </c>
      <c r="E249" s="147">
        <f>IFERROR(D249/$D$253,0)</f>
        <v>0</v>
      </c>
      <c r="F249" s="147">
        <v>4</v>
      </c>
      <c r="G249" s="147">
        <f ca="1">(F249/$F$253)*100</f>
        <v>5.750775204497567E-3</v>
      </c>
    </row>
    <row r="250" spans="1:7">
      <c r="A250" s="146" t="s">
        <v>261</v>
      </c>
      <c r="B250" s="147">
        <v>0</v>
      </c>
      <c r="C250" s="147">
        <f t="shared" si="5"/>
        <v>0</v>
      </c>
      <c r="D250" s="147">
        <v>0</v>
      </c>
      <c r="E250" s="147">
        <f>IFERROR(D250/$D$253,0)</f>
        <v>0</v>
      </c>
      <c r="F250" s="147">
        <v>0</v>
      </c>
      <c r="G250" s="147">
        <f ca="1">F250/$F$253</f>
        <v>0</v>
      </c>
    </row>
    <row r="251" spans="1:7">
      <c r="A251" s="146" t="s">
        <v>262</v>
      </c>
      <c r="B251" s="147">
        <v>0</v>
      </c>
      <c r="C251" s="147">
        <f t="shared" si="5"/>
        <v>0</v>
      </c>
      <c r="D251" s="147">
        <v>0</v>
      </c>
      <c r="E251" s="147">
        <f>IFERROR(D251/$D$253,0)</f>
        <v>0</v>
      </c>
      <c r="F251" s="147">
        <v>0</v>
      </c>
      <c r="G251" s="147">
        <f ca="1">F251/$F$253</f>
        <v>0</v>
      </c>
    </row>
    <row r="252" spans="1:7">
      <c r="A252" s="146" t="s">
        <v>263</v>
      </c>
      <c r="B252" s="147">
        <f>935682.82/1000</f>
        <v>935.68281999999999</v>
      </c>
      <c r="C252" s="147">
        <f t="shared" si="5"/>
        <v>5.085798166934782</v>
      </c>
      <c r="D252" s="147">
        <f>636257.58/1000</f>
        <v>636.25757999999996</v>
      </c>
      <c r="E252" s="147">
        <f>(IFERROR(D252/$D$253,0))*100</f>
        <v>6.293616125740126</v>
      </c>
      <c r="F252" s="147">
        <v>1387.55</v>
      </c>
      <c r="G252" s="147">
        <f ca="1">(F252/$F$253)*100</f>
        <v>1.9948720337501495</v>
      </c>
    </row>
    <row r="253" spans="1:7">
      <c r="A253" s="403" t="s">
        <v>229</v>
      </c>
      <c r="B253" s="404">
        <f>SUM(B241:B252)</f>
        <v>18397.954250000003</v>
      </c>
      <c r="C253" s="404">
        <f>SUM(C241:C252)</f>
        <v>99.999999999999986</v>
      </c>
      <c r="D253" s="404">
        <f t="shared" ref="D253" si="6">SUM(D241:D252)</f>
        <v>10109.570830000001</v>
      </c>
      <c r="E253" s="404">
        <f ca="1">SUM(E241:E253)</f>
        <v>500</v>
      </c>
      <c r="F253" s="404">
        <f ca="1">SUM(F241:F253)</f>
        <v>86944.799999999988</v>
      </c>
      <c r="G253" s="404">
        <f ca="1">SUM(G241:G253)</f>
        <v>364.5741033391302</v>
      </c>
    </row>
  </sheetData>
  <sheetProtection algorithmName="SHA-512" hashValue="DKJV46PNLu8iUxACod8fYIju8setUrbDbQC9k1QGLNwfHEi4Hj4RA7uivaAqxxK1huzNPbzfG0zzwOhedoCmIA==" saltValue="0Kpts7kzvPrwjJMz0o4vcw==" spinCount="100000" sheet="1" objects="1" scenarios="1"/>
  <mergeCells count="16">
    <mergeCell ref="A6:D6"/>
    <mergeCell ref="T8:V8"/>
    <mergeCell ref="A8:D8"/>
    <mergeCell ref="F8:J8"/>
    <mergeCell ref="F221:I221"/>
    <mergeCell ref="J221:M221"/>
    <mergeCell ref="A10:D10"/>
    <mergeCell ref="A154:D154"/>
    <mergeCell ref="A165:D165"/>
    <mergeCell ref="A210:D210"/>
    <mergeCell ref="A171:D171"/>
    <mergeCell ref="A195:D195"/>
    <mergeCell ref="A215:D215"/>
    <mergeCell ref="B221:E221"/>
    <mergeCell ref="A175:D175"/>
    <mergeCell ref="A135:D1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rowBreaks count="1" manualBreakCount="1">
    <brk id="207" max="3" man="1"/>
  </rowBreaks>
  <colBreaks count="1" manualBreakCount="1">
    <brk id="4" max="219" man="1"/>
  </colBreaks>
  <customProperties>
    <customPr name="EpmWorksheetKeyString_GUID" r:id="rId2"/>
  </customProperties>
  <ignoredErrors>
    <ignoredError sqref="D183" formulaRange="1"/>
    <ignoredError sqref="C178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D221-43D3-45E2-8459-97C2768DE27D}">
  <sheetPr>
    <tabColor theme="9" tint="0.79998168889431442"/>
    <pageSetUpPr autoPageBreaks="0"/>
  </sheetPr>
  <dimension ref="A1:Z299"/>
  <sheetViews>
    <sheetView showGridLines="0" zoomScale="90" zoomScaleNormal="90" zoomScaleSheetLayoutView="100" workbookViewId="0">
      <pane ySplit="7" topLeftCell="A8" activePane="bottomLeft" state="frozen"/>
      <selection pane="bottomLeft" activeCell="D22" sqref="D22"/>
    </sheetView>
  </sheetViews>
  <sheetFormatPr defaultRowHeight="14.45"/>
  <cols>
    <col min="1" max="1" width="65.5703125" customWidth="1"/>
    <col min="2" max="13" width="13.42578125" customWidth="1"/>
    <col min="14" max="18" width="9" customWidth="1"/>
    <col min="20" max="20" width="54.42578125" customWidth="1"/>
    <col min="21" max="26" width="16.42578125" customWidth="1"/>
  </cols>
  <sheetData>
    <row r="1" spans="1:26"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/>
      <c r="U1" s="2"/>
      <c r="V1" s="2"/>
      <c r="W1" s="2"/>
      <c r="X1" s="2"/>
      <c r="Y1" s="2"/>
      <c r="Z1" s="2"/>
    </row>
    <row r="2" spans="1:26" ht="18.600000000000001">
      <c r="F2" s="409"/>
      <c r="G2" s="409"/>
      <c r="H2" s="409"/>
      <c r="I2" s="409"/>
      <c r="J2" s="409"/>
      <c r="T2" s="407"/>
      <c r="U2" s="407"/>
      <c r="V2" s="407"/>
    </row>
    <row r="6" spans="1:26" ht="23.45">
      <c r="A6" s="423" t="s">
        <v>264</v>
      </c>
      <c r="B6" s="424"/>
      <c r="C6" s="424"/>
      <c r="D6" s="424"/>
    </row>
    <row r="8" spans="1:26">
      <c r="A8" s="408" t="s">
        <v>265</v>
      </c>
      <c r="B8" s="408"/>
      <c r="C8" s="408"/>
      <c r="D8" s="408"/>
    </row>
    <row r="9" spans="1:26" ht="14.45" customHeight="1">
      <c r="A9" s="4" t="s">
        <v>9</v>
      </c>
      <c r="B9" s="122">
        <v>2025</v>
      </c>
      <c r="C9" s="122">
        <v>2024</v>
      </c>
      <c r="D9" s="122">
        <v>2023</v>
      </c>
    </row>
    <row r="10" spans="1:26">
      <c r="A10" s="422" t="s">
        <v>10</v>
      </c>
      <c r="B10" s="422"/>
      <c r="C10" s="422"/>
      <c r="D10" s="422"/>
    </row>
    <row r="11" spans="1:26">
      <c r="A11" s="5" t="s">
        <v>11</v>
      </c>
      <c r="B11" s="8">
        <v>7195.08</v>
      </c>
      <c r="C11" s="8">
        <v>6842.8</v>
      </c>
      <c r="D11" s="8">
        <v>11099.5</v>
      </c>
    </row>
    <row r="12" spans="1:26">
      <c r="A12" s="146" t="s">
        <v>266</v>
      </c>
      <c r="B12" s="266">
        <v>296.89999999999998</v>
      </c>
      <c r="C12" s="266">
        <v>272.5</v>
      </c>
      <c r="D12" s="266">
        <v>459.9</v>
      </c>
      <c r="F12" s="267"/>
    </row>
    <row r="13" spans="1:26">
      <c r="A13" s="92" t="s">
        <v>267</v>
      </c>
      <c r="B13" s="102">
        <v>1019.58</v>
      </c>
      <c r="C13" s="268">
        <v>986.2</v>
      </c>
      <c r="D13" s="102">
        <v>1637.7</v>
      </c>
    </row>
    <row r="14" spans="1:26">
      <c r="A14" s="92" t="s">
        <v>268</v>
      </c>
      <c r="B14" s="268">
        <v>299.39999999999998</v>
      </c>
      <c r="C14" s="268">
        <v>313</v>
      </c>
      <c r="D14" s="268">
        <v>429</v>
      </c>
      <c r="F14" s="267"/>
    </row>
    <row r="15" spans="1:26">
      <c r="A15" s="92" t="s">
        <v>269</v>
      </c>
      <c r="B15" s="268">
        <v>74.8</v>
      </c>
      <c r="C15" s="268">
        <v>275.7</v>
      </c>
      <c r="D15" s="268">
        <v>400.1</v>
      </c>
      <c r="F15" s="267"/>
    </row>
    <row r="16" spans="1:26">
      <c r="A16" s="99" t="s">
        <v>270</v>
      </c>
      <c r="B16" s="269">
        <v>96.4</v>
      </c>
      <c r="C16" s="269">
        <v>324.7</v>
      </c>
      <c r="D16" s="269">
        <v>439.3</v>
      </c>
      <c r="F16" s="267"/>
    </row>
    <row r="17" spans="1:6" ht="14.85" customHeight="1">
      <c r="A17" s="99" t="s">
        <v>271</v>
      </c>
      <c r="B17" s="269">
        <v>2532</v>
      </c>
      <c r="C17" s="269">
        <v>2115</v>
      </c>
      <c r="D17" s="269">
        <v>3482.8</v>
      </c>
      <c r="F17" s="267"/>
    </row>
    <row r="18" spans="1:6" ht="14.85" customHeight="1">
      <c r="A18" s="92" t="s">
        <v>272</v>
      </c>
      <c r="B18" s="268">
        <v>1401.6</v>
      </c>
      <c r="C18" s="268">
        <v>1216</v>
      </c>
      <c r="D18" s="268">
        <v>2157.1999999999998</v>
      </c>
      <c r="F18" s="267"/>
    </row>
    <row r="19" spans="1:6" s="270" customFormat="1" ht="14.85" customHeight="1">
      <c r="A19" s="99" t="s">
        <v>273</v>
      </c>
      <c r="B19" s="269">
        <v>1407.5</v>
      </c>
      <c r="C19" s="269">
        <v>1261</v>
      </c>
      <c r="D19" s="269">
        <v>1966.7</v>
      </c>
      <c r="E19"/>
    </row>
    <row r="20" spans="1:6" ht="14.85" customHeight="1">
      <c r="A20" s="99" t="s">
        <v>274</v>
      </c>
      <c r="B20" s="269">
        <v>33</v>
      </c>
      <c r="C20" s="269">
        <v>38.6</v>
      </c>
      <c r="D20" s="269">
        <v>55.4</v>
      </c>
      <c r="F20" s="267"/>
    </row>
    <row r="21" spans="1:6" ht="14.85" customHeight="1">
      <c r="A21" s="99" t="s">
        <v>275</v>
      </c>
      <c r="B21" s="269">
        <v>33.9</v>
      </c>
      <c r="C21" s="269">
        <v>40.1</v>
      </c>
      <c r="D21" s="269">
        <v>71.400000000000006</v>
      </c>
      <c r="F21" s="267"/>
    </row>
    <row r="22" spans="1:6" ht="14.85" customHeight="1">
      <c r="A22" s="99" t="s">
        <v>14</v>
      </c>
      <c r="B22" s="271">
        <v>7232.66</v>
      </c>
      <c r="C22" s="269">
        <v>7400.1</v>
      </c>
      <c r="D22" s="269">
        <v>7747.1</v>
      </c>
    </row>
    <row r="23" spans="1:6" ht="14.85" customHeight="1">
      <c r="A23" s="99" t="s">
        <v>15</v>
      </c>
      <c r="B23" s="269">
        <v>2297.7600000000002</v>
      </c>
      <c r="C23" s="269">
        <v>2297.7600000000002</v>
      </c>
      <c r="D23" s="269">
        <v>2297.8000000000002</v>
      </c>
    </row>
    <row r="24" spans="1:6" ht="24" customHeight="1">
      <c r="A24" s="426" t="s">
        <v>276</v>
      </c>
      <c r="B24" s="426"/>
      <c r="C24" s="426"/>
      <c r="D24" s="426"/>
    </row>
    <row r="25" spans="1:6" ht="14.85" customHeight="1">
      <c r="A25" s="4" t="s">
        <v>16</v>
      </c>
      <c r="B25" s="211">
        <v>2025</v>
      </c>
      <c r="C25" s="211">
        <v>2024</v>
      </c>
      <c r="D25" s="211">
        <v>2023</v>
      </c>
      <c r="E25" s="272"/>
    </row>
    <row r="26" spans="1:6" s="274" customFormat="1" ht="14.85" customHeight="1">
      <c r="A26" s="212" t="s">
        <v>17</v>
      </c>
      <c r="B26" s="273">
        <v>1518455</v>
      </c>
      <c r="C26" s="214">
        <v>1451083</v>
      </c>
      <c r="D26" s="214">
        <v>1659176</v>
      </c>
      <c r="E26" s="272"/>
    </row>
    <row r="27" spans="1:6" ht="14.85" customHeight="1">
      <c r="A27" s="99" t="s">
        <v>18</v>
      </c>
      <c r="B27" s="275">
        <v>1431182</v>
      </c>
      <c r="C27" s="217">
        <v>1365338</v>
      </c>
      <c r="D27" s="217">
        <v>1569197</v>
      </c>
      <c r="E27" s="272"/>
    </row>
    <row r="28" spans="1:6" ht="14.85" customHeight="1">
      <c r="A28" s="99" t="s">
        <v>19</v>
      </c>
      <c r="B28" s="275" t="s">
        <v>277</v>
      </c>
      <c r="C28" s="217">
        <v>0</v>
      </c>
      <c r="E28" s="272"/>
    </row>
    <row r="29" spans="1:6" ht="14.85" customHeight="1">
      <c r="A29" s="99" t="s">
        <v>20</v>
      </c>
      <c r="B29" s="275" t="s">
        <v>277</v>
      </c>
      <c r="C29" s="217">
        <v>0</v>
      </c>
      <c r="D29" s="217">
        <v>0</v>
      </c>
      <c r="E29" s="272"/>
    </row>
    <row r="30" spans="1:6" ht="14.85" customHeight="1">
      <c r="A30" s="99" t="s">
        <v>21</v>
      </c>
      <c r="B30" s="275">
        <v>88594</v>
      </c>
      <c r="C30" s="217">
        <v>87400</v>
      </c>
      <c r="D30" s="217">
        <v>89979</v>
      </c>
      <c r="E30" s="272"/>
    </row>
    <row r="31" spans="1:6" ht="14.85" customHeight="1">
      <c r="A31" s="99" t="s">
        <v>22</v>
      </c>
      <c r="B31" s="275">
        <v>-1321</v>
      </c>
      <c r="C31" s="217">
        <v>-1655</v>
      </c>
      <c r="D31" s="217">
        <v>0</v>
      </c>
      <c r="E31" s="272"/>
    </row>
    <row r="32" spans="1:6" ht="14.85" customHeight="1">
      <c r="A32" s="219" t="s">
        <v>23</v>
      </c>
      <c r="B32" s="221">
        <v>-456422</v>
      </c>
      <c r="C32" s="221">
        <v>-253798</v>
      </c>
      <c r="D32" s="221">
        <v>-503102</v>
      </c>
      <c r="E32" s="272"/>
    </row>
    <row r="33" spans="1:5" ht="14.85" customHeight="1">
      <c r="A33" s="99" t="s">
        <v>24</v>
      </c>
      <c r="B33" s="217">
        <v>-355327</v>
      </c>
      <c r="C33" s="217">
        <v>-342573</v>
      </c>
      <c r="D33" s="217">
        <v>-367309</v>
      </c>
      <c r="E33" s="272"/>
    </row>
    <row r="34" spans="1:5" ht="14.85" customHeight="1">
      <c r="A34" s="99" t="s">
        <v>25</v>
      </c>
      <c r="B34" s="217">
        <v>3296</v>
      </c>
      <c r="C34" s="217">
        <v>0</v>
      </c>
      <c r="D34" s="217">
        <v>0</v>
      </c>
      <c r="E34" s="272"/>
    </row>
    <row r="35" spans="1:5" ht="14.85" customHeight="1">
      <c r="A35" s="99" t="s">
        <v>26</v>
      </c>
      <c r="B35" s="217">
        <v>0</v>
      </c>
      <c r="C35" s="217">
        <v>0</v>
      </c>
      <c r="D35" s="217">
        <v>0</v>
      </c>
      <c r="E35" s="272"/>
    </row>
    <row r="36" spans="1:5" ht="14.85" customHeight="1">
      <c r="A36" s="99" t="s">
        <v>27</v>
      </c>
      <c r="B36" s="217">
        <v>-67925</v>
      </c>
      <c r="C36" s="217">
        <v>-64743</v>
      </c>
      <c r="D36" s="217">
        <v>-66225</v>
      </c>
      <c r="E36" s="272"/>
    </row>
    <row r="37" spans="1:5" ht="14.85" customHeight="1">
      <c r="A37" s="99" t="s">
        <v>31</v>
      </c>
      <c r="B37" s="276" t="s">
        <v>277</v>
      </c>
      <c r="C37" s="217">
        <v>156093</v>
      </c>
      <c r="D37" s="217">
        <v>0</v>
      </c>
      <c r="E37" s="272"/>
    </row>
    <row r="38" spans="1:5" ht="14.85" customHeight="1">
      <c r="A38" s="99" t="s">
        <v>28</v>
      </c>
      <c r="B38" s="81">
        <v>-36466</v>
      </c>
      <c r="C38" s="217">
        <v>-2575</v>
      </c>
      <c r="D38" s="217">
        <v>-69568</v>
      </c>
      <c r="E38" s="272"/>
    </row>
    <row r="39" spans="1:5" ht="14.85" customHeight="1">
      <c r="A39" s="219" t="s">
        <v>29</v>
      </c>
      <c r="B39" s="222">
        <v>1062033</v>
      </c>
      <c r="C39" s="222">
        <v>1197285</v>
      </c>
      <c r="D39" s="222">
        <v>1156074</v>
      </c>
      <c r="E39" s="272"/>
    </row>
    <row r="40" spans="1:5" ht="14.85" customHeight="1">
      <c r="A40" s="99" t="s">
        <v>30</v>
      </c>
      <c r="B40" s="217">
        <v>-290488</v>
      </c>
      <c r="C40" s="217">
        <v>-267118</v>
      </c>
      <c r="D40" s="217">
        <v>-266499</v>
      </c>
      <c r="E40" s="272"/>
    </row>
    <row r="41" spans="1:5" ht="14.85" customHeight="1">
      <c r="A41" s="99" t="s">
        <v>31</v>
      </c>
      <c r="B41" s="217">
        <v>0</v>
      </c>
      <c r="C41" s="217">
        <v>0</v>
      </c>
      <c r="D41" s="217">
        <v>0</v>
      </c>
      <c r="E41" s="272"/>
    </row>
    <row r="42" spans="1:5" ht="14.85" customHeight="1">
      <c r="A42" s="219" t="s">
        <v>32</v>
      </c>
      <c r="B42" s="221">
        <v>771545</v>
      </c>
      <c r="C42" s="222">
        <v>930167</v>
      </c>
      <c r="D42" s="222">
        <v>889575</v>
      </c>
      <c r="E42" s="272"/>
    </row>
    <row r="43" spans="1:5" ht="14.85" customHeight="1">
      <c r="A43" s="99" t="s">
        <v>33</v>
      </c>
      <c r="B43" s="217">
        <v>0</v>
      </c>
      <c r="C43" s="217">
        <v>0</v>
      </c>
      <c r="D43" s="217">
        <v>0</v>
      </c>
      <c r="E43" s="272"/>
    </row>
    <row r="44" spans="1:5" s="277" customFormat="1" ht="14.85" customHeight="1">
      <c r="A44" s="99" t="s">
        <v>34</v>
      </c>
      <c r="B44" s="217">
        <v>0</v>
      </c>
      <c r="C44" s="217">
        <v>0</v>
      </c>
      <c r="D44" s="217">
        <v>0</v>
      </c>
      <c r="E44" s="272"/>
    </row>
    <row r="45" spans="1:5" s="274" customFormat="1" ht="14.85" customHeight="1">
      <c r="A45" s="99" t="s">
        <v>35</v>
      </c>
      <c r="B45" s="217">
        <v>90699</v>
      </c>
      <c r="C45" s="217">
        <v>68807</v>
      </c>
      <c r="D45" s="217">
        <v>93194</v>
      </c>
      <c r="E45" s="272"/>
    </row>
    <row r="46" spans="1:5" s="274" customFormat="1" ht="14.85" customHeight="1">
      <c r="A46" s="99" t="s">
        <v>36</v>
      </c>
      <c r="B46" s="217">
        <v>0</v>
      </c>
      <c r="C46" s="217">
        <v>0</v>
      </c>
      <c r="D46" s="217">
        <v>0</v>
      </c>
      <c r="E46" s="272"/>
    </row>
    <row r="47" spans="1:5" ht="14.85" customHeight="1">
      <c r="A47" s="219" t="s">
        <v>37</v>
      </c>
      <c r="B47" s="221">
        <v>90699</v>
      </c>
      <c r="C47" s="221">
        <v>68807</v>
      </c>
      <c r="D47" s="221">
        <v>93194</v>
      </c>
      <c r="E47" s="272"/>
    </row>
    <row r="48" spans="1:5" ht="14.85" customHeight="1">
      <c r="A48" s="151" t="s">
        <v>38</v>
      </c>
      <c r="B48" s="226">
        <v>862244</v>
      </c>
      <c r="C48" s="224">
        <v>998974</v>
      </c>
      <c r="D48" s="224">
        <v>982769</v>
      </c>
      <c r="E48" s="272"/>
    </row>
    <row r="49" spans="1:5" ht="14.85" customHeight="1">
      <c r="A49" s="153" t="s">
        <v>39</v>
      </c>
      <c r="C49" s="226"/>
      <c r="D49" s="226"/>
      <c r="E49" s="272"/>
    </row>
    <row r="50" spans="1:5" ht="14.85" customHeight="1">
      <c r="A50" s="212" t="s">
        <v>40</v>
      </c>
      <c r="B50" s="228">
        <v>75744</v>
      </c>
      <c r="C50" s="228">
        <v>75681</v>
      </c>
      <c r="D50" s="228">
        <v>78127</v>
      </c>
      <c r="E50" s="272"/>
    </row>
    <row r="51" spans="1:5" ht="14.85" customHeight="1">
      <c r="A51" s="99" t="s">
        <v>41</v>
      </c>
      <c r="B51" s="217">
        <v>53788</v>
      </c>
      <c r="C51" s="217">
        <f>43122+6715</f>
        <v>49837</v>
      </c>
      <c r="D51" s="217">
        <f>45963+7219</f>
        <v>53182</v>
      </c>
      <c r="E51" s="272"/>
    </row>
    <row r="52" spans="1:5" ht="14.85" customHeight="1">
      <c r="A52" s="99" t="s">
        <v>42</v>
      </c>
      <c r="B52" s="217">
        <v>18099</v>
      </c>
      <c r="C52" s="217">
        <v>21616</v>
      </c>
      <c r="D52" s="217">
        <v>19285</v>
      </c>
      <c r="E52" s="272"/>
    </row>
    <row r="53" spans="1:5" ht="14.85" customHeight="1">
      <c r="A53" s="99" t="s">
        <v>43</v>
      </c>
      <c r="B53" s="217">
        <v>3857</v>
      </c>
      <c r="C53" s="217">
        <v>4228</v>
      </c>
      <c r="D53" s="217">
        <v>5660</v>
      </c>
      <c r="E53" s="272"/>
    </row>
    <row r="54" spans="1:5" s="274" customFormat="1" ht="14.85" customHeight="1">
      <c r="A54" s="99" t="s">
        <v>44</v>
      </c>
      <c r="B54" s="217">
        <v>0</v>
      </c>
      <c r="C54" s="217">
        <v>0</v>
      </c>
      <c r="D54" s="217">
        <v>0</v>
      </c>
      <c r="E54" s="272"/>
    </row>
    <row r="55" spans="1:5" ht="14.85" customHeight="1">
      <c r="A55" s="99" t="s">
        <v>278</v>
      </c>
      <c r="B55" s="231">
        <v>0</v>
      </c>
      <c r="C55" s="217">
        <v>0</v>
      </c>
      <c r="D55" s="217">
        <v>0</v>
      </c>
      <c r="E55" s="272"/>
    </row>
    <row r="56" spans="1:5" ht="14.85" customHeight="1">
      <c r="A56" s="99" t="s">
        <v>45</v>
      </c>
      <c r="B56" s="217">
        <v>0</v>
      </c>
      <c r="C56" s="217">
        <v>0</v>
      </c>
      <c r="D56" s="217">
        <v>0</v>
      </c>
      <c r="E56" s="272"/>
    </row>
    <row r="57" spans="1:5" ht="14.85" customHeight="1">
      <c r="A57" s="219" t="s">
        <v>46</v>
      </c>
      <c r="B57" s="221">
        <v>318210</v>
      </c>
      <c r="C57" s="221">
        <v>324001</v>
      </c>
      <c r="D57" s="221">
        <v>379235</v>
      </c>
      <c r="E57" s="272"/>
    </row>
    <row r="58" spans="1:5" ht="14.85" customHeight="1">
      <c r="A58" s="99" t="s">
        <v>47</v>
      </c>
      <c r="B58" s="217">
        <v>221336</v>
      </c>
      <c r="C58" s="217">
        <v>250323</v>
      </c>
      <c r="D58" s="217">
        <v>279446</v>
      </c>
      <c r="E58" s="272"/>
    </row>
    <row r="59" spans="1:5" s="278" customFormat="1" ht="14.85" customHeight="1">
      <c r="A59" s="99" t="s">
        <v>48</v>
      </c>
      <c r="B59" s="217">
        <v>41718</v>
      </c>
      <c r="C59" s="217">
        <v>31861</v>
      </c>
      <c r="D59" s="217">
        <v>32918</v>
      </c>
      <c r="E59" s="272"/>
    </row>
    <row r="60" spans="1:5" ht="14.85" customHeight="1">
      <c r="A60" s="99" t="s">
        <v>49</v>
      </c>
      <c r="B60" s="217">
        <v>55156</v>
      </c>
      <c r="C60" s="217">
        <v>41817</v>
      </c>
      <c r="D60" s="217">
        <v>66871</v>
      </c>
      <c r="E60" s="272"/>
    </row>
    <row r="61" spans="1:5" ht="14.85" customHeight="1">
      <c r="A61" s="219" t="s">
        <v>50</v>
      </c>
      <c r="B61" s="221">
        <v>161224</v>
      </c>
      <c r="C61" s="221">
        <v>110998</v>
      </c>
      <c r="D61" s="221">
        <v>129398</v>
      </c>
      <c r="E61" s="272"/>
    </row>
    <row r="62" spans="1:5" ht="14.85" customHeight="1">
      <c r="A62" s="99" t="s">
        <v>33</v>
      </c>
      <c r="B62" s="217">
        <v>538</v>
      </c>
      <c r="C62" s="217">
        <v>494</v>
      </c>
      <c r="D62" s="217">
        <v>443</v>
      </c>
      <c r="E62" s="272"/>
    </row>
    <row r="63" spans="1:5" s="274" customFormat="1" ht="14.85" customHeight="1">
      <c r="A63" s="99" t="s">
        <v>51</v>
      </c>
      <c r="B63" s="217">
        <v>160686</v>
      </c>
      <c r="C63" s="217">
        <v>110504</v>
      </c>
      <c r="D63" s="217">
        <v>128955</v>
      </c>
      <c r="E63" s="272"/>
    </row>
    <row r="64" spans="1:5" ht="14.85" customHeight="1">
      <c r="A64" s="219" t="s">
        <v>52</v>
      </c>
      <c r="B64" s="230">
        <v>307066</v>
      </c>
      <c r="C64" s="230">
        <v>488294</v>
      </c>
      <c r="D64" s="230">
        <v>396009</v>
      </c>
      <c r="E64" s="272"/>
    </row>
    <row r="65" spans="1:8" ht="14.85" customHeight="1">
      <c r="A65" s="99" t="s">
        <v>53</v>
      </c>
      <c r="B65" s="217">
        <v>120000</v>
      </c>
      <c r="C65" s="217">
        <v>106000</v>
      </c>
      <c r="D65" s="217">
        <v>110000</v>
      </c>
      <c r="E65" s="272"/>
    </row>
    <row r="66" spans="1:8" ht="14.85" customHeight="1">
      <c r="A66" s="99" t="s">
        <v>54</v>
      </c>
      <c r="B66" s="217">
        <v>187066</v>
      </c>
      <c r="C66" s="217">
        <v>382294</v>
      </c>
      <c r="D66" s="217">
        <v>286009</v>
      </c>
      <c r="E66" s="272"/>
    </row>
    <row r="67" spans="1:8" ht="14.85" customHeight="1">
      <c r="A67" s="99" t="s">
        <v>55</v>
      </c>
      <c r="B67" s="217">
        <v>0</v>
      </c>
      <c r="C67" s="217">
        <v>0</v>
      </c>
      <c r="D67" s="217">
        <v>0</v>
      </c>
      <c r="E67" s="272"/>
    </row>
    <row r="68" spans="1:8" ht="14.85" customHeight="1">
      <c r="A68" s="99" t="s">
        <v>56</v>
      </c>
      <c r="B68" s="217">
        <v>0</v>
      </c>
      <c r="C68" s="217">
        <v>0</v>
      </c>
      <c r="D68" s="217">
        <v>0</v>
      </c>
      <c r="E68" s="272"/>
      <c r="F68" s="232"/>
      <c r="G68" s="232"/>
      <c r="H68" s="232"/>
    </row>
    <row r="69" spans="1:8" ht="14.85" customHeight="1">
      <c r="A69" s="279" t="s">
        <v>57</v>
      </c>
      <c r="B69" s="280">
        <v>862244</v>
      </c>
      <c r="C69" s="280">
        <v>998974</v>
      </c>
      <c r="D69" s="280">
        <v>982769</v>
      </c>
      <c r="E69" s="272"/>
      <c r="F69" s="232"/>
      <c r="G69" s="232"/>
      <c r="H69" s="232"/>
    </row>
    <row r="70" spans="1:8">
      <c r="A70" s="4" t="s">
        <v>58</v>
      </c>
      <c r="B70" s="122">
        <v>2025</v>
      </c>
      <c r="C70" s="122">
        <v>2024</v>
      </c>
      <c r="D70" s="122">
        <v>2023</v>
      </c>
      <c r="F70" s="232"/>
      <c r="G70" s="232"/>
      <c r="H70" s="232"/>
    </row>
    <row r="71" spans="1:8">
      <c r="A71" s="87" t="s">
        <v>59</v>
      </c>
      <c r="B71" s="52"/>
      <c r="C71" s="52"/>
      <c r="D71" s="52"/>
      <c r="F71" s="232"/>
      <c r="G71" s="232"/>
      <c r="H71" s="232"/>
    </row>
    <row r="72" spans="1:8">
      <c r="A72" s="237" t="s">
        <v>60</v>
      </c>
      <c r="B72" s="161"/>
      <c r="C72" s="161"/>
      <c r="D72" s="162"/>
      <c r="F72" s="232"/>
      <c r="G72" s="232"/>
      <c r="H72" s="232"/>
    </row>
    <row r="73" spans="1:8">
      <c r="A73" s="99" t="s">
        <v>61</v>
      </c>
      <c r="B73" s="56">
        <v>233</v>
      </c>
      <c r="C73" s="56">
        <v>250</v>
      </c>
      <c r="D73" s="56">
        <v>264</v>
      </c>
      <c r="F73" s="232"/>
      <c r="G73" s="232"/>
      <c r="H73" s="232"/>
    </row>
    <row r="74" spans="1:8" ht="24" customHeight="1">
      <c r="A74" s="99" t="s">
        <v>62</v>
      </c>
      <c r="B74" s="57">
        <v>96</v>
      </c>
      <c r="C74" s="56">
        <v>80</v>
      </c>
      <c r="D74" s="56">
        <v>74</v>
      </c>
      <c r="F74" s="232"/>
      <c r="G74" s="232"/>
      <c r="H74" s="232"/>
    </row>
    <row r="75" spans="1:8" ht="15" customHeight="1">
      <c r="A75" s="99" t="s">
        <v>63</v>
      </c>
      <c r="B75" s="58">
        <v>16.739999999999998</v>
      </c>
      <c r="C75" s="58">
        <v>19.600000000000001</v>
      </c>
      <c r="D75" s="238">
        <v>20</v>
      </c>
      <c r="F75" s="232"/>
      <c r="G75" s="232"/>
      <c r="H75" s="232"/>
    </row>
    <row r="76" spans="1:8">
      <c r="A76" s="99" t="s">
        <v>64</v>
      </c>
      <c r="B76" s="58">
        <v>35.19</v>
      </c>
      <c r="C76" s="58">
        <v>36</v>
      </c>
      <c r="D76" s="238">
        <v>38</v>
      </c>
      <c r="F76" s="232"/>
      <c r="G76" s="232"/>
      <c r="H76" s="232"/>
    </row>
    <row r="77" spans="1:8">
      <c r="A77" s="99" t="s">
        <v>65</v>
      </c>
      <c r="B77" s="58">
        <v>30.04</v>
      </c>
      <c r="C77" s="58">
        <v>27.6</v>
      </c>
      <c r="D77" s="238">
        <v>27</v>
      </c>
      <c r="F77" s="232"/>
      <c r="G77" s="232"/>
      <c r="H77" s="232"/>
    </row>
    <row r="78" spans="1:8">
      <c r="A78" s="99" t="s">
        <v>66</v>
      </c>
      <c r="B78" s="58">
        <v>18.03</v>
      </c>
      <c r="C78" s="58">
        <v>16.8</v>
      </c>
      <c r="D78" s="238">
        <v>15</v>
      </c>
    </row>
    <row r="79" spans="1:8">
      <c r="A79" s="59" t="s">
        <v>67</v>
      </c>
      <c r="B79" s="60">
        <v>12.45</v>
      </c>
      <c r="C79" s="60">
        <v>12.4</v>
      </c>
      <c r="D79" s="239">
        <v>13</v>
      </c>
    </row>
    <row r="80" spans="1:8">
      <c r="A80" s="99" t="s">
        <v>68</v>
      </c>
      <c r="B80" s="58">
        <v>5.26</v>
      </c>
      <c r="C80" s="58">
        <v>4.3499999999999996</v>
      </c>
      <c r="D80" s="238">
        <v>4</v>
      </c>
    </row>
    <row r="81" spans="1:4">
      <c r="A81" s="59" t="s">
        <v>69</v>
      </c>
      <c r="B81" s="60">
        <v>2.58</v>
      </c>
      <c r="C81" s="60">
        <v>2.4</v>
      </c>
      <c r="D81" s="239">
        <v>2</v>
      </c>
    </row>
    <row r="82" spans="1:4">
      <c r="A82" s="99" t="s">
        <v>70</v>
      </c>
      <c r="B82" s="58">
        <v>24.89</v>
      </c>
      <c r="C82" s="58">
        <v>22.400000000000002</v>
      </c>
      <c r="D82" s="238">
        <v>22</v>
      </c>
    </row>
    <row r="83" spans="1:4" ht="24.6">
      <c r="A83" s="99" t="s">
        <v>71</v>
      </c>
      <c r="B83" s="58">
        <v>15.79</v>
      </c>
      <c r="C83" s="58">
        <v>13.04</v>
      </c>
      <c r="D83" s="238">
        <v>4</v>
      </c>
    </row>
    <row r="84" spans="1:4">
      <c r="A84" s="99" t="s">
        <v>72</v>
      </c>
      <c r="B84" s="58">
        <v>2.15</v>
      </c>
      <c r="C84" s="58">
        <v>1.6</v>
      </c>
      <c r="D84" s="238">
        <v>2</v>
      </c>
    </row>
    <row r="85" spans="1:4">
      <c r="A85" s="99" t="s">
        <v>73</v>
      </c>
      <c r="B85" s="58">
        <v>0.86</v>
      </c>
      <c r="C85" s="58">
        <v>1.2</v>
      </c>
      <c r="D85" s="238">
        <v>1.0999999999999999</v>
      </c>
    </row>
    <row r="86" spans="1:4">
      <c r="A86" s="281" t="s">
        <v>74</v>
      </c>
      <c r="B86" s="282">
        <v>9</v>
      </c>
      <c r="C86" s="282">
        <v>9</v>
      </c>
      <c r="D86" s="282">
        <v>8</v>
      </c>
    </row>
    <row r="87" spans="1:4">
      <c r="A87" s="283" t="s">
        <v>75</v>
      </c>
      <c r="B87" s="284"/>
      <c r="C87" s="284"/>
      <c r="D87" s="284"/>
    </row>
    <row r="88" spans="1:4">
      <c r="A88" s="62" t="s">
        <v>76</v>
      </c>
      <c r="B88" s="170">
        <v>44084</v>
      </c>
      <c r="C88" s="94">
        <v>43111</v>
      </c>
      <c r="D88" s="285">
        <v>44704</v>
      </c>
    </row>
    <row r="89" spans="1:4">
      <c r="A89" s="99" t="s">
        <v>77</v>
      </c>
      <c r="B89" s="286">
        <v>15322</v>
      </c>
      <c r="C89" s="94">
        <v>15301</v>
      </c>
      <c r="D89" s="94">
        <v>17057</v>
      </c>
    </row>
    <row r="90" spans="1:4">
      <c r="A90" s="65" t="s">
        <v>42</v>
      </c>
      <c r="B90" s="66">
        <f>SUM(B91:B100)</f>
        <v>18294</v>
      </c>
      <c r="C90" s="66">
        <f>SUM(C91:C100)</f>
        <v>19715</v>
      </c>
      <c r="D90" s="66">
        <f>SUM(D91:D100)</f>
        <v>18494</v>
      </c>
    </row>
    <row r="91" spans="1:4">
      <c r="A91" s="99" t="s">
        <v>78</v>
      </c>
      <c r="B91" s="67">
        <v>134</v>
      </c>
      <c r="C91" s="67">
        <v>199</v>
      </c>
      <c r="D91" s="67">
        <v>259</v>
      </c>
    </row>
    <row r="92" spans="1:4">
      <c r="A92" s="99" t="s">
        <v>79</v>
      </c>
      <c r="B92" s="67">
        <v>5787</v>
      </c>
      <c r="C92" s="67">
        <v>6370</v>
      </c>
      <c r="D92" s="67">
        <v>6560</v>
      </c>
    </row>
    <row r="93" spans="1:4">
      <c r="A93" s="99" t="s">
        <v>80</v>
      </c>
      <c r="B93" s="67">
        <v>5111</v>
      </c>
      <c r="C93" s="67">
        <v>5588</v>
      </c>
      <c r="D93" s="55">
        <v>4816</v>
      </c>
    </row>
    <row r="94" spans="1:4">
      <c r="A94" s="99" t="s">
        <v>81</v>
      </c>
      <c r="B94" s="67">
        <v>3417</v>
      </c>
      <c r="C94" s="67">
        <v>3115</v>
      </c>
      <c r="D94" s="55">
        <v>3538</v>
      </c>
    </row>
    <row r="95" spans="1:4">
      <c r="A95" s="99" t="s">
        <v>82</v>
      </c>
      <c r="B95" s="67">
        <v>2402</v>
      </c>
      <c r="C95" s="67">
        <v>2659</v>
      </c>
      <c r="D95" s="67">
        <v>1496</v>
      </c>
    </row>
    <row r="96" spans="1:4" ht="15" customHeight="1">
      <c r="A96" s="99" t="s">
        <v>83</v>
      </c>
      <c r="B96" s="67">
        <v>156</v>
      </c>
      <c r="C96" s="67">
        <v>420</v>
      </c>
      <c r="D96" s="67">
        <v>659</v>
      </c>
    </row>
    <row r="97" spans="1:4">
      <c r="A97" s="99" t="s">
        <v>84</v>
      </c>
      <c r="B97" s="67">
        <v>0</v>
      </c>
      <c r="C97" s="67">
        <v>0</v>
      </c>
      <c r="D97" s="67">
        <v>0</v>
      </c>
    </row>
    <row r="98" spans="1:4">
      <c r="A98" s="99" t="s">
        <v>85</v>
      </c>
      <c r="B98" s="67">
        <v>751</v>
      </c>
      <c r="C98" s="67">
        <v>887</v>
      </c>
      <c r="D98" s="67">
        <v>695</v>
      </c>
    </row>
    <row r="99" spans="1:4">
      <c r="A99" s="99" t="s">
        <v>86</v>
      </c>
      <c r="B99" s="67">
        <v>182</v>
      </c>
      <c r="C99" s="67">
        <v>94</v>
      </c>
      <c r="D99" s="67">
        <v>60</v>
      </c>
    </row>
    <row r="100" spans="1:4">
      <c r="A100" s="59" t="s">
        <v>87</v>
      </c>
      <c r="B100" s="68">
        <v>354</v>
      </c>
      <c r="C100" s="68">
        <v>383</v>
      </c>
      <c r="D100" s="69">
        <v>411</v>
      </c>
    </row>
    <row r="101" spans="1:4">
      <c r="A101" s="65" t="s">
        <v>88</v>
      </c>
      <c r="B101" s="70"/>
      <c r="C101" s="70"/>
      <c r="D101" s="70"/>
    </row>
    <row r="102" spans="1:4">
      <c r="A102" s="99" t="s">
        <v>89</v>
      </c>
      <c r="B102" s="67">
        <v>6401</v>
      </c>
      <c r="C102" s="67">
        <v>6639</v>
      </c>
      <c r="D102" s="67">
        <v>7179</v>
      </c>
    </row>
    <row r="103" spans="1:4">
      <c r="A103" s="59" t="s">
        <v>90</v>
      </c>
      <c r="B103" s="68">
        <v>15</v>
      </c>
      <c r="C103" s="68">
        <v>0.15</v>
      </c>
      <c r="D103" s="287">
        <v>16</v>
      </c>
    </row>
    <row r="104" spans="1:4">
      <c r="A104" s="99" t="s">
        <v>91</v>
      </c>
      <c r="B104" s="72">
        <v>46.07</v>
      </c>
      <c r="C104" s="72">
        <v>47.25</v>
      </c>
      <c r="D104" s="72">
        <v>26.07</v>
      </c>
    </row>
    <row r="105" spans="1:4">
      <c r="A105" s="281" t="s">
        <v>92</v>
      </c>
      <c r="B105" s="288">
        <v>1.98</v>
      </c>
      <c r="C105" s="288">
        <v>1.83</v>
      </c>
      <c r="D105" s="288">
        <v>3.66</v>
      </c>
    </row>
    <row r="106" spans="1:4">
      <c r="A106" s="283" t="s">
        <v>93</v>
      </c>
      <c r="B106" s="284"/>
      <c r="C106" s="284"/>
      <c r="D106" s="284"/>
    </row>
    <row r="107" spans="1:4">
      <c r="A107" s="92" t="s">
        <v>94</v>
      </c>
      <c r="B107" s="102">
        <v>72718.87</v>
      </c>
      <c r="C107" s="102">
        <v>67429.14</v>
      </c>
      <c r="D107" s="102">
        <v>103100.96</v>
      </c>
    </row>
    <row r="108" spans="1:4">
      <c r="A108" s="99" t="s">
        <v>95</v>
      </c>
      <c r="B108" s="72">
        <v>26525</v>
      </c>
      <c r="C108" s="72">
        <v>24456</v>
      </c>
      <c r="D108" s="72">
        <v>32756.37</v>
      </c>
    </row>
    <row r="109" spans="1:4">
      <c r="A109" s="99" t="s">
        <v>96</v>
      </c>
      <c r="B109" s="72">
        <v>10209</v>
      </c>
      <c r="C109" s="72">
        <v>10084</v>
      </c>
      <c r="D109" s="72">
        <v>12772.2</v>
      </c>
    </row>
    <row r="110" spans="1:4">
      <c r="A110" s="281" t="s">
        <v>97</v>
      </c>
      <c r="B110" s="288">
        <v>6010</v>
      </c>
      <c r="C110" s="288">
        <v>5597</v>
      </c>
      <c r="D110" s="288">
        <v>8198.2000000000007</v>
      </c>
    </row>
    <row r="111" spans="1:4">
      <c r="A111" s="283" t="s">
        <v>98</v>
      </c>
      <c r="B111" s="284"/>
      <c r="C111" s="284"/>
      <c r="D111" s="284"/>
    </row>
    <row r="112" spans="1:4">
      <c r="A112" s="92" t="s">
        <v>99</v>
      </c>
      <c r="B112" s="94">
        <v>42.64</v>
      </c>
      <c r="C112" s="94">
        <v>30.71</v>
      </c>
      <c r="D112" s="94">
        <v>44</v>
      </c>
    </row>
    <row r="113" spans="1:4">
      <c r="A113" s="59" t="s">
        <v>100</v>
      </c>
      <c r="B113" s="68">
        <v>0</v>
      </c>
      <c r="C113" s="68">
        <v>0</v>
      </c>
      <c r="D113" s="68">
        <v>0</v>
      </c>
    </row>
    <row r="114" spans="1:4">
      <c r="A114" s="99" t="s">
        <v>101</v>
      </c>
      <c r="B114" s="67">
        <v>0</v>
      </c>
      <c r="C114" s="67">
        <v>0</v>
      </c>
      <c r="D114" s="67">
        <v>0</v>
      </c>
    </row>
    <row r="115" spans="1:4">
      <c r="A115" s="99" t="s">
        <v>102</v>
      </c>
      <c r="B115" s="67">
        <v>0</v>
      </c>
      <c r="C115" s="67">
        <v>3.2</v>
      </c>
      <c r="D115" s="67">
        <v>2.8</v>
      </c>
    </row>
    <row r="116" spans="1:4">
      <c r="A116" s="99" t="s">
        <v>103</v>
      </c>
      <c r="B116" s="67">
        <v>0</v>
      </c>
      <c r="C116" s="67">
        <v>0</v>
      </c>
      <c r="D116" s="67">
        <v>0</v>
      </c>
    </row>
    <row r="117" spans="1:4" ht="24.6">
      <c r="A117" s="99" t="s">
        <v>104</v>
      </c>
      <c r="B117" s="67">
        <v>0</v>
      </c>
      <c r="C117" s="67">
        <v>1.47</v>
      </c>
      <c r="D117" s="67">
        <v>1.34</v>
      </c>
    </row>
    <row r="118" spans="1:4">
      <c r="A118" s="59" t="s">
        <v>105</v>
      </c>
      <c r="B118" s="68">
        <v>0</v>
      </c>
      <c r="C118" s="68">
        <v>0</v>
      </c>
      <c r="D118" s="68">
        <v>0</v>
      </c>
    </row>
    <row r="119" spans="1:4">
      <c r="A119" s="99" t="s">
        <v>106</v>
      </c>
      <c r="B119" s="67">
        <v>0</v>
      </c>
      <c r="C119" s="67">
        <v>0</v>
      </c>
      <c r="D119" s="67">
        <v>0</v>
      </c>
    </row>
    <row r="120" spans="1:4">
      <c r="A120" s="99" t="s">
        <v>107</v>
      </c>
      <c r="B120" s="67">
        <v>0</v>
      </c>
      <c r="C120" s="67">
        <v>0</v>
      </c>
      <c r="D120" s="67">
        <v>0</v>
      </c>
    </row>
    <row r="121" spans="1:4">
      <c r="A121" s="99" t="s">
        <v>108</v>
      </c>
      <c r="B121" s="67">
        <v>0</v>
      </c>
      <c r="C121" s="67">
        <v>0</v>
      </c>
      <c r="D121" s="67">
        <v>0</v>
      </c>
    </row>
    <row r="122" spans="1:4">
      <c r="A122" s="99" t="s">
        <v>109</v>
      </c>
      <c r="B122" s="67">
        <v>0</v>
      </c>
      <c r="C122" s="67">
        <v>0</v>
      </c>
      <c r="D122" s="67">
        <v>0</v>
      </c>
    </row>
    <row r="123" spans="1:4">
      <c r="A123" s="65" t="s">
        <v>111</v>
      </c>
      <c r="B123" s="70"/>
      <c r="C123" s="70"/>
      <c r="D123" s="70"/>
    </row>
    <row r="124" spans="1:4">
      <c r="A124" s="99" t="s">
        <v>112</v>
      </c>
      <c r="B124" s="73">
        <v>0</v>
      </c>
      <c r="C124" s="73">
        <v>0</v>
      </c>
      <c r="D124" s="73">
        <v>0.4</v>
      </c>
    </row>
    <row r="125" spans="1:4">
      <c r="A125" s="99" t="s">
        <v>113</v>
      </c>
      <c r="B125" s="73">
        <v>2.15</v>
      </c>
      <c r="C125" s="73">
        <v>2.8</v>
      </c>
      <c r="D125" s="73">
        <v>3</v>
      </c>
    </row>
    <row r="126" spans="1:4">
      <c r="A126" s="92" t="s">
        <v>114</v>
      </c>
      <c r="B126" s="93">
        <v>42.49</v>
      </c>
      <c r="C126" s="93">
        <v>42.4</v>
      </c>
      <c r="D126" s="93">
        <v>39</v>
      </c>
    </row>
    <row r="127" spans="1:4">
      <c r="A127" s="92" t="s">
        <v>115</v>
      </c>
      <c r="B127" s="93">
        <v>38.200000000000003</v>
      </c>
      <c r="C127" s="93">
        <v>36.4</v>
      </c>
      <c r="D127" s="93">
        <v>38.6</v>
      </c>
    </row>
    <row r="128" spans="1:4">
      <c r="A128" s="92" t="s">
        <v>116</v>
      </c>
      <c r="B128" s="93">
        <v>17.170000000000002</v>
      </c>
      <c r="C128" s="93">
        <v>18.399999999999999</v>
      </c>
      <c r="D128" s="93">
        <v>18.899999999999999</v>
      </c>
    </row>
    <row r="129" spans="1:4">
      <c r="A129" s="59" t="s">
        <v>117</v>
      </c>
      <c r="B129" s="78">
        <v>585.70000000000005</v>
      </c>
      <c r="C129" s="79">
        <v>195.3</v>
      </c>
      <c r="D129" s="79">
        <v>246.5</v>
      </c>
    </row>
    <row r="130" spans="1:4">
      <c r="A130" s="65" t="s">
        <v>118</v>
      </c>
      <c r="B130" s="70"/>
      <c r="C130" s="70"/>
      <c r="D130" s="70"/>
    </row>
    <row r="131" spans="1:4">
      <c r="A131" s="59" t="s">
        <v>119</v>
      </c>
      <c r="B131" s="79">
        <v>8.4</v>
      </c>
      <c r="C131" s="79">
        <v>19.8</v>
      </c>
      <c r="D131" s="79">
        <v>2</v>
      </c>
    </row>
    <row r="132" spans="1:4">
      <c r="A132" s="99" t="s">
        <v>120</v>
      </c>
      <c r="B132" s="73">
        <v>61</v>
      </c>
      <c r="C132" s="73">
        <v>31.5</v>
      </c>
      <c r="D132" s="73">
        <v>52.9</v>
      </c>
    </row>
    <row r="133" spans="1:4">
      <c r="A133" s="59" t="s">
        <v>121</v>
      </c>
      <c r="B133" s="79">
        <v>57.9</v>
      </c>
      <c r="C133" s="79">
        <v>34.799999999999997</v>
      </c>
      <c r="D133" s="79">
        <v>54.4</v>
      </c>
    </row>
    <row r="134" spans="1:4">
      <c r="A134" s="99" t="s">
        <v>122</v>
      </c>
      <c r="B134" s="73">
        <v>197.5</v>
      </c>
      <c r="C134" s="73">
        <v>120.3</v>
      </c>
      <c r="D134" s="73">
        <v>139.1</v>
      </c>
    </row>
    <row r="135" spans="1:4">
      <c r="A135" s="59" t="s">
        <v>123</v>
      </c>
      <c r="B135" s="79">
        <v>52.2</v>
      </c>
      <c r="C135" s="79">
        <v>52.2</v>
      </c>
      <c r="D135" s="79">
        <v>52.2</v>
      </c>
    </row>
    <row r="136" spans="1:4">
      <c r="A136" s="65" t="s">
        <v>124</v>
      </c>
      <c r="B136" s="70"/>
      <c r="C136" s="70"/>
      <c r="D136" s="70"/>
    </row>
    <row r="137" spans="1:4">
      <c r="A137" s="99" t="s">
        <v>125</v>
      </c>
      <c r="B137" s="67">
        <v>233</v>
      </c>
      <c r="C137" s="67">
        <v>250</v>
      </c>
      <c r="D137" s="67">
        <v>264</v>
      </c>
    </row>
    <row r="138" spans="1:4">
      <c r="A138" s="59" t="s">
        <v>126</v>
      </c>
      <c r="B138" s="68">
        <v>7</v>
      </c>
      <c r="C138" s="68">
        <v>19</v>
      </c>
      <c r="D138" s="68">
        <v>17</v>
      </c>
    </row>
    <row r="139" spans="1:4">
      <c r="A139" s="99" t="s">
        <v>127</v>
      </c>
      <c r="B139" s="82">
        <v>9.01E-2</v>
      </c>
      <c r="C139" s="82">
        <v>0.12</v>
      </c>
      <c r="D139" s="82">
        <v>0.1212</v>
      </c>
    </row>
    <row r="140" spans="1:4">
      <c r="A140" s="83" t="s">
        <v>128</v>
      </c>
      <c r="B140" s="85"/>
      <c r="C140" s="85"/>
      <c r="D140" s="85"/>
    </row>
    <row r="141" spans="1:4">
      <c r="A141" s="99" t="s">
        <v>129</v>
      </c>
      <c r="B141" s="67">
        <v>15363</v>
      </c>
      <c r="C141" s="67">
        <v>16213</v>
      </c>
      <c r="D141" s="67">
        <v>10210</v>
      </c>
    </row>
    <row r="142" spans="1:4">
      <c r="A142" s="99" t="s">
        <v>279</v>
      </c>
      <c r="B142" s="67">
        <v>24</v>
      </c>
      <c r="C142" s="67">
        <v>26</v>
      </c>
      <c r="D142" s="67">
        <v>0</v>
      </c>
    </row>
    <row r="143" spans="1:4">
      <c r="A143" s="99" t="s">
        <v>131</v>
      </c>
      <c r="B143" s="67">
        <v>5</v>
      </c>
      <c r="C143" s="67">
        <v>4</v>
      </c>
      <c r="D143" s="67">
        <v>4</v>
      </c>
    </row>
    <row r="144" spans="1:4">
      <c r="A144" s="99" t="s">
        <v>132</v>
      </c>
      <c r="B144" s="67">
        <v>2</v>
      </c>
      <c r="C144" s="67">
        <v>2</v>
      </c>
      <c r="D144" s="67">
        <v>1</v>
      </c>
    </row>
    <row r="145" spans="1:4">
      <c r="A145" s="99" t="s">
        <v>133</v>
      </c>
      <c r="B145" s="86">
        <v>1548700</v>
      </c>
      <c r="C145" s="67">
        <v>1512370</v>
      </c>
      <c r="D145" s="67">
        <v>13093</v>
      </c>
    </row>
    <row r="146" spans="1:4">
      <c r="A146" s="65" t="s">
        <v>135</v>
      </c>
      <c r="B146" s="70"/>
      <c r="C146" s="70"/>
      <c r="D146" s="70"/>
    </row>
    <row r="147" spans="1:4">
      <c r="A147" s="99" t="s">
        <v>280</v>
      </c>
      <c r="B147" s="86">
        <v>2513</v>
      </c>
      <c r="C147" s="67">
        <v>1571</v>
      </c>
      <c r="D147" s="67">
        <v>597</v>
      </c>
    </row>
    <row r="148" spans="1:4">
      <c r="A148" s="99" t="s">
        <v>137</v>
      </c>
      <c r="B148" s="86">
        <v>207</v>
      </c>
      <c r="C148" s="67">
        <v>223</v>
      </c>
      <c r="D148" s="67">
        <v>77</v>
      </c>
    </row>
    <row r="149" spans="1:4" ht="24" customHeight="1">
      <c r="A149" s="414" t="s">
        <v>281</v>
      </c>
      <c r="B149" s="414"/>
      <c r="C149" s="414"/>
      <c r="D149" s="414"/>
    </row>
    <row r="150" spans="1:4">
      <c r="A150" s="4" t="s">
        <v>138</v>
      </c>
      <c r="B150" s="122">
        <v>2025</v>
      </c>
      <c r="C150" s="122">
        <v>2024</v>
      </c>
      <c r="D150" s="122">
        <v>2023</v>
      </c>
    </row>
    <row r="151" spans="1:4">
      <c r="A151" s="87" t="s">
        <v>139</v>
      </c>
      <c r="B151" s="52"/>
      <c r="C151" s="52"/>
      <c r="D151" s="52"/>
    </row>
    <row r="152" spans="1:4">
      <c r="A152" s="88" t="s">
        <v>140</v>
      </c>
      <c r="B152" s="89"/>
      <c r="C152" s="89"/>
      <c r="D152" s="90"/>
    </row>
    <row r="153" spans="1:4">
      <c r="A153" s="99" t="s">
        <v>141</v>
      </c>
      <c r="B153" s="67">
        <v>0</v>
      </c>
      <c r="C153" s="67">
        <v>0</v>
      </c>
      <c r="D153" s="67">
        <v>0</v>
      </c>
    </row>
    <row r="154" spans="1:4">
      <c r="A154" s="99" t="s">
        <v>142</v>
      </c>
      <c r="B154" s="67">
        <v>0</v>
      </c>
      <c r="C154" s="67">
        <v>0</v>
      </c>
      <c r="D154" s="67">
        <v>0</v>
      </c>
    </row>
    <row r="155" spans="1:4">
      <c r="A155" s="99" t="s">
        <v>143</v>
      </c>
      <c r="B155" s="67">
        <v>0</v>
      </c>
      <c r="C155" s="67">
        <v>0</v>
      </c>
      <c r="D155" s="67">
        <v>0</v>
      </c>
    </row>
    <row r="156" spans="1:4">
      <c r="A156" s="65" t="s">
        <v>144</v>
      </c>
      <c r="B156" s="70"/>
      <c r="C156" s="70"/>
      <c r="D156" s="70"/>
    </row>
    <row r="157" spans="1:4">
      <c r="A157" s="92" t="s">
        <v>145</v>
      </c>
      <c r="B157" s="93">
        <v>0</v>
      </c>
      <c r="C157" s="93" t="s">
        <v>146</v>
      </c>
      <c r="D157" s="93">
        <v>0</v>
      </c>
    </row>
    <row r="158" spans="1:4" ht="14.85" customHeight="1">
      <c r="A158" s="99" t="s">
        <v>147</v>
      </c>
      <c r="B158" s="73">
        <v>802.4</v>
      </c>
      <c r="C158" s="73" t="s">
        <v>146</v>
      </c>
      <c r="D158" s="73">
        <v>423</v>
      </c>
    </row>
    <row r="159" spans="1:4">
      <c r="A159" s="99" t="s">
        <v>148</v>
      </c>
      <c r="B159" s="73">
        <v>1758.9</v>
      </c>
      <c r="C159" s="73" t="s">
        <v>146</v>
      </c>
      <c r="D159" s="73">
        <v>1691</v>
      </c>
    </row>
    <row r="160" spans="1:4">
      <c r="A160" s="99" t="s">
        <v>149</v>
      </c>
      <c r="B160" s="73">
        <v>879.4</v>
      </c>
      <c r="C160" s="73" t="s">
        <v>146</v>
      </c>
      <c r="D160" s="73">
        <v>845</v>
      </c>
    </row>
    <row r="161" spans="1:4">
      <c r="A161" s="99" t="s">
        <v>150</v>
      </c>
      <c r="B161" s="73">
        <v>516.70000000000005</v>
      </c>
      <c r="C161" s="73">
        <v>0</v>
      </c>
      <c r="D161" s="73">
        <v>0</v>
      </c>
    </row>
    <row r="162" spans="1:4" ht="24" customHeight="1">
      <c r="A162" s="99" t="s">
        <v>151</v>
      </c>
      <c r="B162" s="73">
        <v>0</v>
      </c>
      <c r="C162" s="73">
        <v>0</v>
      </c>
      <c r="D162" s="73">
        <v>0</v>
      </c>
    </row>
    <row r="163" spans="1:4" ht="24.6">
      <c r="A163" s="99" t="s">
        <v>152</v>
      </c>
      <c r="B163" s="73">
        <v>0</v>
      </c>
      <c r="C163" s="73">
        <v>0</v>
      </c>
      <c r="D163" s="73">
        <v>0</v>
      </c>
    </row>
    <row r="164" spans="1:4">
      <c r="A164" s="196" t="s">
        <v>153</v>
      </c>
      <c r="B164" s="197"/>
      <c r="C164" s="197"/>
      <c r="D164" s="197"/>
    </row>
    <row r="165" spans="1:4" ht="24" customHeight="1">
      <c r="A165" s="412" t="s">
        <v>154</v>
      </c>
      <c r="B165" s="412"/>
      <c r="C165" s="412"/>
      <c r="D165" s="412"/>
    </row>
    <row r="166" spans="1:4">
      <c r="A166" s="92" t="s">
        <v>155</v>
      </c>
      <c r="B166" s="94">
        <v>3957.4</v>
      </c>
      <c r="C166" s="94">
        <f>3155445.04/1000</f>
        <v>3155.4450400000001</v>
      </c>
      <c r="D166" s="94">
        <v>2958</v>
      </c>
    </row>
    <row r="167" spans="1:4" ht="14.85" customHeight="1">
      <c r="A167" s="59" t="s">
        <v>156</v>
      </c>
      <c r="B167" s="68">
        <v>9</v>
      </c>
      <c r="C167" s="68">
        <v>4</v>
      </c>
      <c r="D167" s="68">
        <v>3</v>
      </c>
    </row>
    <row r="168" spans="1:4" ht="14.85" customHeight="1">
      <c r="A168" s="99" t="s">
        <v>157</v>
      </c>
      <c r="B168" s="67">
        <v>1325.4</v>
      </c>
      <c r="C168" s="67">
        <f>1577722.52/1000</f>
        <v>1577.72252</v>
      </c>
      <c r="D168" s="67">
        <v>1691</v>
      </c>
    </row>
    <row r="169" spans="1:4" ht="24">
      <c r="A169" s="201" t="s">
        <v>158</v>
      </c>
      <c r="B169" s="95" t="s">
        <v>282</v>
      </c>
      <c r="C169" s="95" t="s">
        <v>283</v>
      </c>
      <c r="D169" s="95" t="s">
        <v>282</v>
      </c>
    </row>
    <row r="170" spans="1:4" ht="60" customHeight="1">
      <c r="A170" s="201" t="s">
        <v>160</v>
      </c>
      <c r="B170" s="95" t="s">
        <v>284</v>
      </c>
      <c r="C170" s="95" t="s">
        <v>285</v>
      </c>
      <c r="D170" s="95" t="s">
        <v>286</v>
      </c>
    </row>
    <row r="171" spans="1:4" ht="14.45" customHeight="1">
      <c r="A171" s="4" t="s">
        <v>162</v>
      </c>
      <c r="B171" s="122">
        <v>2025</v>
      </c>
      <c r="C171" s="122">
        <v>2024</v>
      </c>
      <c r="D171" s="122">
        <v>2023</v>
      </c>
    </row>
    <row r="172" spans="1:4">
      <c r="A172" s="87" t="s">
        <v>163</v>
      </c>
      <c r="B172" s="97"/>
      <c r="C172" s="97"/>
      <c r="D172" s="97"/>
    </row>
    <row r="173" spans="1:4" ht="14.85" customHeight="1">
      <c r="A173" s="88" t="s">
        <v>164</v>
      </c>
      <c r="B173" s="89"/>
      <c r="C173" s="89"/>
      <c r="D173" s="90"/>
    </row>
    <row r="174" spans="1:4" ht="24.6">
      <c r="A174" s="182" t="s">
        <v>165</v>
      </c>
      <c r="B174" s="9">
        <v>745.32</v>
      </c>
      <c r="C174" s="9">
        <v>713.59</v>
      </c>
      <c r="D174" s="9">
        <v>788.9</v>
      </c>
    </row>
    <row r="175" spans="1:4" ht="24" customHeight="1">
      <c r="A175" s="146" t="s">
        <v>166</v>
      </c>
      <c r="B175" s="250">
        <v>0</v>
      </c>
      <c r="C175" s="251">
        <v>0</v>
      </c>
      <c r="D175" s="251">
        <v>0</v>
      </c>
    </row>
    <row r="176" spans="1:4" ht="24" customHeight="1">
      <c r="A176" s="431" t="s">
        <v>167</v>
      </c>
      <c r="B176" s="431"/>
      <c r="C176" s="431"/>
      <c r="D176" s="431"/>
    </row>
    <row r="177" spans="1:4">
      <c r="A177" s="88" t="s">
        <v>168</v>
      </c>
      <c r="B177" s="259"/>
      <c r="C177" s="259"/>
      <c r="D177" s="259"/>
    </row>
    <row r="178" spans="1:4" ht="14.85" customHeight="1">
      <c r="A178" s="99" t="s">
        <v>169</v>
      </c>
      <c r="B178" s="72">
        <v>6387.5</v>
      </c>
      <c r="C178" s="72">
        <f>C181+C180+C179</f>
        <v>6387.5</v>
      </c>
      <c r="D178" s="72">
        <f>D181+D180+D179</f>
        <v>6591</v>
      </c>
    </row>
    <row r="179" spans="1:4" ht="14.45" customHeight="1">
      <c r="A179" s="99" t="s">
        <v>170</v>
      </c>
      <c r="B179" s="72">
        <v>0</v>
      </c>
      <c r="C179" s="72">
        <v>0</v>
      </c>
      <c r="D179" s="72">
        <v>0</v>
      </c>
    </row>
    <row r="180" spans="1:4">
      <c r="A180" s="99" t="s">
        <v>171</v>
      </c>
      <c r="B180" s="72">
        <v>6387.5</v>
      </c>
      <c r="C180" s="72">
        <v>6387.5</v>
      </c>
      <c r="D180" s="72">
        <v>6591</v>
      </c>
    </row>
    <row r="181" spans="1:4">
      <c r="A181" s="92" t="s">
        <v>172</v>
      </c>
      <c r="B181" s="102">
        <v>0</v>
      </c>
      <c r="C181" s="102">
        <v>0</v>
      </c>
      <c r="D181" s="102">
        <v>0</v>
      </c>
    </row>
    <row r="182" spans="1:4" ht="36" customHeight="1">
      <c r="A182" s="427" t="s">
        <v>287</v>
      </c>
      <c r="B182" s="427"/>
      <c r="C182" s="427"/>
      <c r="D182" s="427"/>
    </row>
    <row r="183" spans="1:4">
      <c r="A183" s="88" t="s">
        <v>174</v>
      </c>
      <c r="B183" s="89"/>
      <c r="C183" s="89"/>
      <c r="D183" s="70"/>
    </row>
    <row r="184" spans="1:4" ht="14.85" customHeight="1">
      <c r="A184" s="92" t="s">
        <v>175</v>
      </c>
      <c r="B184" s="93">
        <v>0</v>
      </c>
      <c r="C184" s="93">
        <v>0</v>
      </c>
      <c r="D184" s="93">
        <v>0</v>
      </c>
    </row>
    <row r="185" spans="1:4">
      <c r="A185" s="114" t="s">
        <v>176</v>
      </c>
      <c r="B185" s="115">
        <v>0</v>
      </c>
      <c r="C185" s="116">
        <v>0</v>
      </c>
      <c r="D185" s="116">
        <v>0</v>
      </c>
    </row>
    <row r="186" spans="1:4" ht="36" customHeight="1">
      <c r="A186" s="418" t="s">
        <v>177</v>
      </c>
      <c r="B186" s="418"/>
      <c r="C186" s="418"/>
      <c r="D186" s="418"/>
    </row>
    <row r="187" spans="1:4">
      <c r="A187" s="87" t="s">
        <v>178</v>
      </c>
      <c r="B187" s="289"/>
      <c r="C187" s="289"/>
      <c r="D187" s="289"/>
    </row>
    <row r="188" spans="1:4">
      <c r="A188" s="88" t="s">
        <v>179</v>
      </c>
      <c r="B188" s="104">
        <f>SUM(B189+B194)</f>
        <v>4089.45</v>
      </c>
      <c r="C188" s="104">
        <f>SUM(C189+C194)</f>
        <v>3816.76</v>
      </c>
      <c r="D188" s="290"/>
    </row>
    <row r="189" spans="1:4">
      <c r="A189" s="65" t="s">
        <v>180</v>
      </c>
      <c r="B189" s="105">
        <f>SUM(B190:B193)</f>
        <v>4029.21</v>
      </c>
      <c r="C189" s="105">
        <f>SUM(C190:C193)</f>
        <v>3724.73</v>
      </c>
      <c r="D189" s="245"/>
    </row>
    <row r="190" spans="1:4">
      <c r="A190" s="182" t="s">
        <v>181</v>
      </c>
      <c r="B190" s="9">
        <v>2050.17</v>
      </c>
      <c r="C190" s="9">
        <v>1754.04</v>
      </c>
      <c r="D190" s="9">
        <v>2169.8200000000002</v>
      </c>
    </row>
    <row r="191" spans="1:4">
      <c r="A191" s="146" t="s">
        <v>182</v>
      </c>
      <c r="B191" s="147">
        <v>1979.04</v>
      </c>
      <c r="C191" s="147">
        <v>1970.69</v>
      </c>
      <c r="D191" s="147">
        <v>1917.56</v>
      </c>
    </row>
    <row r="192" spans="1:4">
      <c r="A192" s="146" t="s">
        <v>183</v>
      </c>
      <c r="B192" s="147">
        <v>0</v>
      </c>
      <c r="C192" s="147">
        <v>0</v>
      </c>
      <c r="D192" s="147">
        <v>0</v>
      </c>
    </row>
    <row r="193" spans="1:4">
      <c r="A193" s="146" t="s">
        <v>184</v>
      </c>
      <c r="B193" s="147">
        <v>0</v>
      </c>
      <c r="C193" s="147">
        <v>0</v>
      </c>
      <c r="D193" s="291" t="s">
        <v>277</v>
      </c>
    </row>
    <row r="194" spans="1:4">
      <c r="A194" s="253" t="s">
        <v>185</v>
      </c>
      <c r="B194" s="292">
        <f>SUM(B195:B196)</f>
        <v>60.239999999999995</v>
      </c>
      <c r="C194" s="292">
        <f>SUM(C195:C196)</f>
        <v>92.029999999999987</v>
      </c>
      <c r="D194" s="293"/>
    </row>
    <row r="195" spans="1:4">
      <c r="A195" s="146" t="s">
        <v>186</v>
      </c>
      <c r="B195" s="147">
        <v>27.09</v>
      </c>
      <c r="C195" s="147">
        <v>2.96</v>
      </c>
      <c r="D195" s="147">
        <v>35.47</v>
      </c>
    </row>
    <row r="196" spans="1:4">
      <c r="A196" s="146" t="s">
        <v>187</v>
      </c>
      <c r="B196" s="147">
        <v>33.15</v>
      </c>
      <c r="C196" s="147">
        <v>89.07</v>
      </c>
      <c r="D196" s="147">
        <v>4.3499999999999996</v>
      </c>
    </row>
    <row r="197" spans="1:4">
      <c r="A197" s="146" t="s">
        <v>188</v>
      </c>
      <c r="B197" s="192">
        <v>26037720</v>
      </c>
      <c r="C197" s="192">
        <f>B22*3600</f>
        <v>26037576</v>
      </c>
      <c r="D197" s="192">
        <v>27889524</v>
      </c>
    </row>
    <row r="198" spans="1:4">
      <c r="A198" s="146" t="s">
        <v>189</v>
      </c>
      <c r="B198" s="294">
        <f>(B190+B191+B195+B196)/B197</f>
        <v>1.5705868255745897E-4</v>
      </c>
      <c r="C198" s="261">
        <f>C188/C197</f>
        <v>1.465866100592467E-4</v>
      </c>
      <c r="D198" s="261">
        <v>1.4779999999999999E-4</v>
      </c>
    </row>
    <row r="199" spans="1:4">
      <c r="A199" s="253" t="s">
        <v>288</v>
      </c>
      <c r="B199" s="295"/>
      <c r="C199" s="295"/>
      <c r="D199" s="295"/>
    </row>
    <row r="200" spans="1:4">
      <c r="A200" s="92" t="s">
        <v>191</v>
      </c>
      <c r="B200" s="93">
        <v>0</v>
      </c>
      <c r="C200" s="93">
        <v>0</v>
      </c>
      <c r="D200" s="93">
        <v>0</v>
      </c>
    </row>
    <row r="201" spans="1:4">
      <c r="A201" s="92" t="s">
        <v>192</v>
      </c>
      <c r="B201" s="93">
        <v>419266.8</v>
      </c>
      <c r="C201" s="93">
        <v>419266.8</v>
      </c>
      <c r="D201" s="93">
        <v>419266.8</v>
      </c>
    </row>
    <row r="202" spans="1:4">
      <c r="A202" s="92" t="s">
        <v>193</v>
      </c>
      <c r="B202" s="93">
        <v>0</v>
      </c>
      <c r="C202" s="93">
        <v>0</v>
      </c>
      <c r="D202" s="93">
        <v>0</v>
      </c>
    </row>
    <row r="203" spans="1:4">
      <c r="A203" s="182" t="s">
        <v>194</v>
      </c>
      <c r="B203" s="193">
        <v>121.8</v>
      </c>
      <c r="C203" s="193">
        <v>121.8</v>
      </c>
      <c r="D203" s="193" t="s">
        <v>277</v>
      </c>
    </row>
    <row r="204" spans="1:4">
      <c r="A204" s="168" t="s">
        <v>289</v>
      </c>
      <c r="B204" s="296">
        <f>SUM(B200:B203)</f>
        <v>419388.6</v>
      </c>
      <c r="C204" s="296">
        <f>SUM(C200:C203)</f>
        <v>419388.6</v>
      </c>
      <c r="D204" s="296">
        <f>SUM(D200:D203)</f>
        <v>419266.8</v>
      </c>
    </row>
    <row r="205" spans="1:4">
      <c r="A205" s="146" t="s">
        <v>196</v>
      </c>
      <c r="B205" s="297">
        <v>0.49</v>
      </c>
      <c r="C205" s="297">
        <v>0.49</v>
      </c>
      <c r="D205" s="297">
        <v>1588.13</v>
      </c>
    </row>
    <row r="206" spans="1:4" ht="36" customHeight="1">
      <c r="A206" s="428" t="s">
        <v>173</v>
      </c>
      <c r="B206" s="429"/>
      <c r="C206" s="429"/>
      <c r="D206" s="429"/>
    </row>
    <row r="207" spans="1:4">
      <c r="A207" s="117" t="s">
        <v>198</v>
      </c>
      <c r="B207" s="118"/>
      <c r="C207" s="118"/>
      <c r="D207" s="118"/>
    </row>
    <row r="208" spans="1:4" ht="14.85" customHeight="1">
      <c r="A208" s="88" t="s">
        <v>199</v>
      </c>
      <c r="B208" s="89"/>
      <c r="C208" s="89"/>
      <c r="D208" s="90"/>
    </row>
    <row r="209" spans="1:5">
      <c r="A209" s="99" t="s">
        <v>200</v>
      </c>
      <c r="B209" s="67">
        <v>0</v>
      </c>
      <c r="C209" s="67">
        <v>0</v>
      </c>
      <c r="D209" s="67">
        <v>0</v>
      </c>
    </row>
    <row r="210" spans="1:5" ht="24.6">
      <c r="A210" s="99" t="s">
        <v>201</v>
      </c>
      <c r="B210" s="67">
        <v>0</v>
      </c>
      <c r="C210" s="67">
        <v>0</v>
      </c>
      <c r="D210" s="67">
        <v>0</v>
      </c>
    </row>
    <row r="211" spans="1:5">
      <c r="A211" s="99" t="s">
        <v>202</v>
      </c>
      <c r="B211" s="67">
        <v>0</v>
      </c>
      <c r="C211" s="67">
        <v>0</v>
      </c>
      <c r="D211" s="67">
        <v>0</v>
      </c>
    </row>
    <row r="212" spans="1:5">
      <c r="A212" s="88" t="s">
        <v>203</v>
      </c>
      <c r="B212" s="67"/>
      <c r="C212" s="89"/>
      <c r="D212" s="89"/>
    </row>
    <row r="213" spans="1:5">
      <c r="A213" s="99" t="s">
        <v>204</v>
      </c>
      <c r="B213" s="67">
        <v>0</v>
      </c>
      <c r="C213" s="67">
        <v>0</v>
      </c>
      <c r="D213" s="67">
        <v>0</v>
      </c>
    </row>
    <row r="214" spans="1:5">
      <c r="A214" s="92" t="s">
        <v>205</v>
      </c>
      <c r="B214" s="67">
        <v>0</v>
      </c>
      <c r="C214" s="94">
        <v>0</v>
      </c>
      <c r="D214" s="94">
        <v>0</v>
      </c>
    </row>
    <row r="215" spans="1:5">
      <c r="A215" s="99" t="s">
        <v>206</v>
      </c>
      <c r="B215" s="67">
        <v>0</v>
      </c>
      <c r="C215" s="67">
        <v>0</v>
      </c>
      <c r="D215" s="67">
        <v>0</v>
      </c>
    </row>
    <row r="216" spans="1:5">
      <c r="A216" s="99" t="s">
        <v>207</v>
      </c>
      <c r="B216" s="67">
        <v>0</v>
      </c>
      <c r="C216" s="67">
        <v>0</v>
      </c>
      <c r="D216" s="67">
        <v>0</v>
      </c>
    </row>
    <row r="217" spans="1:5">
      <c r="A217" s="99" t="s">
        <v>205</v>
      </c>
      <c r="B217" s="67">
        <v>0</v>
      </c>
      <c r="C217" s="67">
        <v>0</v>
      </c>
      <c r="D217" s="67">
        <v>0</v>
      </c>
    </row>
    <row r="218" spans="1:5">
      <c r="A218" s="99" t="s">
        <v>208</v>
      </c>
      <c r="B218" s="67">
        <v>82</v>
      </c>
      <c r="C218" s="67">
        <f>30000/1000</f>
        <v>30</v>
      </c>
      <c r="D218" s="67">
        <v>0</v>
      </c>
    </row>
    <row r="219" spans="1:5">
      <c r="A219" s="4" t="s">
        <v>209</v>
      </c>
      <c r="B219" s="122">
        <v>2025</v>
      </c>
      <c r="C219" s="122" t="s">
        <v>210</v>
      </c>
      <c r="D219" s="122" t="s">
        <v>211</v>
      </c>
    </row>
    <row r="220" spans="1:5">
      <c r="A220" s="92" t="s">
        <v>212</v>
      </c>
      <c r="B220" s="102">
        <v>45454011.369999997</v>
      </c>
      <c r="C220" s="102">
        <v>44163907</v>
      </c>
      <c r="D220" s="94">
        <v>57890000</v>
      </c>
    </row>
    <row r="221" spans="1:5" ht="24" customHeight="1">
      <c r="A221" s="425" t="s">
        <v>213</v>
      </c>
      <c r="B221" s="425"/>
      <c r="C221" s="425"/>
      <c r="D221" s="425"/>
      <c r="E221" s="298"/>
    </row>
    <row r="222" spans="1:5">
      <c r="A222" s="92" t="s">
        <v>214</v>
      </c>
      <c r="B222" s="94">
        <v>0</v>
      </c>
      <c r="C222" s="94">
        <v>0</v>
      </c>
      <c r="D222" s="94">
        <v>0</v>
      </c>
    </row>
    <row r="223" spans="1:5" ht="14.85" customHeight="1">
      <c r="A223" s="182" t="s">
        <v>215</v>
      </c>
      <c r="B223" s="183">
        <v>0</v>
      </c>
      <c r="C223" s="183">
        <v>30</v>
      </c>
      <c r="D223" s="183">
        <v>29</v>
      </c>
    </row>
    <row r="224" spans="1:5">
      <c r="A224" s="59" t="s">
        <v>216</v>
      </c>
      <c r="B224" s="94">
        <v>205.5</v>
      </c>
      <c r="C224" s="68">
        <v>710</v>
      </c>
      <c r="D224" s="68">
        <v>133</v>
      </c>
    </row>
    <row r="225" spans="1:13">
      <c r="A225" s="99" t="s">
        <v>217</v>
      </c>
      <c r="B225" s="67">
        <v>1500000</v>
      </c>
      <c r="C225" s="67">
        <v>1550350</v>
      </c>
      <c r="D225" s="67">
        <v>1500000</v>
      </c>
    </row>
    <row r="226" spans="1:13" ht="24" customHeight="1">
      <c r="A226" s="430" t="s">
        <v>218</v>
      </c>
      <c r="B226" s="430"/>
      <c r="C226" s="430"/>
      <c r="D226" s="430"/>
    </row>
    <row r="227" spans="1:13">
      <c r="A227" s="92" t="s">
        <v>219</v>
      </c>
      <c r="B227" s="94">
        <v>0</v>
      </c>
      <c r="C227" s="94">
        <v>0</v>
      </c>
      <c r="D227" s="94">
        <v>0</v>
      </c>
    </row>
    <row r="228" spans="1:13" ht="24" customHeight="1">
      <c r="A228" s="182" t="s">
        <v>220</v>
      </c>
      <c r="B228" s="183">
        <v>0</v>
      </c>
      <c r="C228" s="183">
        <v>0</v>
      </c>
      <c r="D228" s="183">
        <v>0</v>
      </c>
    </row>
    <row r="229" spans="1:13" ht="24" customHeight="1">
      <c r="A229" s="92" t="s">
        <v>221</v>
      </c>
      <c r="B229" s="94">
        <v>0</v>
      </c>
      <c r="C229" s="94">
        <v>0</v>
      </c>
      <c r="D229" s="94">
        <v>0</v>
      </c>
    </row>
    <row r="230" spans="1:13" ht="15" customHeight="1">
      <c r="A230" s="99" t="s">
        <v>222</v>
      </c>
      <c r="B230" s="67">
        <v>0</v>
      </c>
      <c r="C230" s="67">
        <v>0</v>
      </c>
      <c r="D230" s="67">
        <v>0</v>
      </c>
    </row>
    <row r="231" spans="1:13" ht="14.85" customHeight="1">
      <c r="A231" s="99"/>
      <c r="B231" s="67"/>
      <c r="C231" s="67"/>
      <c r="D231" s="67"/>
    </row>
    <row r="232" spans="1:13" ht="24" customHeight="1">
      <c r="A232" s="4" t="s">
        <v>223</v>
      </c>
      <c r="B232" s="417" t="s">
        <v>224</v>
      </c>
      <c r="C232" s="417"/>
      <c r="D232" s="417"/>
      <c r="E232" s="417"/>
      <c r="F232" s="410">
        <v>2024</v>
      </c>
      <c r="G232" s="410"/>
      <c r="H232" s="410"/>
      <c r="I232" s="410"/>
      <c r="J232" s="410">
        <v>2023</v>
      </c>
      <c r="K232" s="410"/>
      <c r="L232" s="410"/>
      <c r="M232" s="410"/>
    </row>
    <row r="233" spans="1:13" ht="24" customHeight="1">
      <c r="A233" s="123" t="s">
        <v>290</v>
      </c>
      <c r="B233" s="124" t="s">
        <v>226</v>
      </c>
      <c r="C233" s="124" t="s">
        <v>227</v>
      </c>
      <c r="D233" s="124" t="s">
        <v>228</v>
      </c>
      <c r="E233" s="125" t="s">
        <v>229</v>
      </c>
      <c r="F233" s="204" t="s">
        <v>226</v>
      </c>
      <c r="G233" s="204" t="s">
        <v>227</v>
      </c>
      <c r="H233" s="204" t="s">
        <v>228</v>
      </c>
      <c r="I233" s="205" t="s">
        <v>229</v>
      </c>
      <c r="J233" s="204" t="s">
        <v>226</v>
      </c>
      <c r="K233" s="204" t="s">
        <v>227</v>
      </c>
      <c r="L233" s="204" t="s">
        <v>228</v>
      </c>
      <c r="M233" s="205" t="s">
        <v>229</v>
      </c>
    </row>
    <row r="234" spans="1:13" ht="14.45" customHeight="1">
      <c r="A234" s="5" t="s">
        <v>230</v>
      </c>
      <c r="B234" s="386">
        <v>6</v>
      </c>
      <c r="C234" s="386">
        <v>4</v>
      </c>
      <c r="D234" s="386">
        <v>5</v>
      </c>
      <c r="E234" s="387">
        <f>SUM(B234:D234)</f>
        <v>15</v>
      </c>
      <c r="F234" s="386">
        <v>6</v>
      </c>
      <c r="G234" s="386">
        <v>3</v>
      </c>
      <c r="H234" s="386">
        <v>6</v>
      </c>
      <c r="I234" s="387">
        <f>SUM(F234:H234)</f>
        <v>15</v>
      </c>
      <c r="J234" s="386">
        <v>5</v>
      </c>
      <c r="K234" s="386">
        <v>5</v>
      </c>
      <c r="L234" s="386">
        <v>6</v>
      </c>
      <c r="M234" s="387">
        <f>SUM(J234:L234)</f>
        <v>16</v>
      </c>
    </row>
    <row r="235" spans="1:13">
      <c r="A235" s="146" t="s">
        <v>231</v>
      </c>
      <c r="B235" s="192">
        <v>4</v>
      </c>
      <c r="C235" s="192">
        <v>2</v>
      </c>
      <c r="D235" s="192">
        <v>5</v>
      </c>
      <c r="E235" s="388">
        <f>SUM(B235:D235)</f>
        <v>11</v>
      </c>
      <c r="F235" s="192">
        <v>6</v>
      </c>
      <c r="G235" s="192">
        <v>2</v>
      </c>
      <c r="H235" s="192">
        <v>6</v>
      </c>
      <c r="I235" s="388">
        <f t="shared" ref="I235:I246" si="0">SUM(F235:H235)</f>
        <v>14</v>
      </c>
      <c r="J235" s="192">
        <v>2</v>
      </c>
      <c r="K235" s="192">
        <v>2</v>
      </c>
      <c r="L235" s="192">
        <v>6</v>
      </c>
      <c r="M235" s="388">
        <f t="shared" ref="M235" si="1">SUM(J235:L235)</f>
        <v>10</v>
      </c>
    </row>
    <row r="236" spans="1:13">
      <c r="A236" s="253" t="s">
        <v>232</v>
      </c>
      <c r="B236" s="389">
        <f>SUM(B237:B240)</f>
        <v>1429.74</v>
      </c>
      <c r="C236" s="389">
        <f>SUM(C237:C240)</f>
        <v>2357.94</v>
      </c>
      <c r="D236" s="389">
        <f>SUM(D237:D240)</f>
        <v>924</v>
      </c>
      <c r="E236" s="390">
        <f>SUM(B236:D236)</f>
        <v>4711.68</v>
      </c>
      <c r="F236" s="389">
        <f>SUM(F237:F240)</f>
        <v>1438.96</v>
      </c>
      <c r="G236" s="389">
        <f>SUM(G237:G240)</f>
        <v>2112.31</v>
      </c>
      <c r="H236" s="389">
        <f>SUM(H237:H240)</f>
        <v>1060.03</v>
      </c>
      <c r="I236" s="390">
        <f>SUM(F236:H236)</f>
        <v>4611.3</v>
      </c>
      <c r="J236" s="389">
        <f>SUM(J237:J240)</f>
        <v>675.76</v>
      </c>
      <c r="K236" s="389">
        <f>SUM(K237:K240)</f>
        <v>1797.96</v>
      </c>
      <c r="L236" s="389">
        <f>SUM(L237:L240)</f>
        <v>1039.5</v>
      </c>
      <c r="M236" s="390">
        <f>SUM(J236:L236)</f>
        <v>3513.2200000000003</v>
      </c>
    </row>
    <row r="237" spans="1:13">
      <c r="A237" s="146" t="s">
        <v>233</v>
      </c>
      <c r="B237" s="147">
        <v>1339.67</v>
      </c>
      <c r="C237" s="147">
        <v>2012.27</v>
      </c>
      <c r="D237" s="147">
        <v>924</v>
      </c>
      <c r="E237" s="391">
        <f>SUM(B237:D237)</f>
        <v>4275.9400000000005</v>
      </c>
      <c r="F237" s="147">
        <v>1331.55</v>
      </c>
      <c r="G237" s="147">
        <v>1770.72</v>
      </c>
      <c r="H237" s="147">
        <v>1060.03</v>
      </c>
      <c r="I237" s="391">
        <f>SUM(F237:H237)</f>
        <v>4162.3</v>
      </c>
      <c r="J237" s="147">
        <v>453.63</v>
      </c>
      <c r="K237" s="147">
        <v>1218.3</v>
      </c>
      <c r="L237" s="147">
        <v>1039.5</v>
      </c>
      <c r="M237" s="391">
        <f t="shared" ref="M237:M246" si="2">SUM(J237:L237)</f>
        <v>2711.43</v>
      </c>
    </row>
    <row r="238" spans="1:13">
      <c r="A238" s="146" t="s">
        <v>234</v>
      </c>
      <c r="B238" s="147">
        <v>90.07</v>
      </c>
      <c r="C238" s="147">
        <v>345.67</v>
      </c>
      <c r="D238" s="147">
        <v>0</v>
      </c>
      <c r="E238" s="391">
        <f t="shared" ref="E238:E246" si="3">SUM(B238:D238)</f>
        <v>435.74</v>
      </c>
      <c r="F238" s="147">
        <v>107.41</v>
      </c>
      <c r="G238" s="147">
        <v>341.59</v>
      </c>
      <c r="H238" s="147">
        <v>0</v>
      </c>
      <c r="I238" s="391">
        <f t="shared" si="0"/>
        <v>449</v>
      </c>
      <c r="J238" s="147">
        <v>71.099999999999994</v>
      </c>
      <c r="K238" s="147">
        <v>266.10000000000002</v>
      </c>
      <c r="L238" s="147" t="s">
        <v>277</v>
      </c>
      <c r="M238" s="391">
        <f t="shared" si="2"/>
        <v>337.20000000000005</v>
      </c>
    </row>
    <row r="239" spans="1:13">
      <c r="A239" s="146" t="s">
        <v>235</v>
      </c>
      <c r="B239" s="147">
        <v>0</v>
      </c>
      <c r="C239" s="147">
        <v>0</v>
      </c>
      <c r="D239" s="147">
        <v>0</v>
      </c>
      <c r="E239" s="391">
        <f>SUM(B239:D239)</f>
        <v>0</v>
      </c>
      <c r="F239" s="147">
        <v>0</v>
      </c>
      <c r="G239" s="147">
        <v>0</v>
      </c>
      <c r="H239" s="147">
        <v>0</v>
      </c>
      <c r="I239" s="391">
        <f t="shared" si="0"/>
        <v>0</v>
      </c>
      <c r="J239" s="147">
        <v>23.65</v>
      </c>
      <c r="K239" s="147" t="s">
        <v>277</v>
      </c>
      <c r="L239" s="147" t="s">
        <v>277</v>
      </c>
      <c r="M239" s="391">
        <f t="shared" si="2"/>
        <v>23.65</v>
      </c>
    </row>
    <row r="240" spans="1:13">
      <c r="A240" s="146" t="s">
        <v>236</v>
      </c>
      <c r="B240" s="147">
        <v>0</v>
      </c>
      <c r="C240" s="147">
        <v>0</v>
      </c>
      <c r="D240" s="147">
        <v>0</v>
      </c>
      <c r="E240" s="391">
        <f t="shared" si="3"/>
        <v>0</v>
      </c>
      <c r="F240" s="147">
        <v>0</v>
      </c>
      <c r="G240" s="147">
        <v>0</v>
      </c>
      <c r="H240" s="147">
        <v>0</v>
      </c>
      <c r="I240" s="391">
        <f t="shared" si="0"/>
        <v>0</v>
      </c>
      <c r="J240" s="147">
        <v>127.38</v>
      </c>
      <c r="K240" s="147">
        <v>313.56</v>
      </c>
      <c r="L240" s="147" t="s">
        <v>277</v>
      </c>
      <c r="M240" s="391">
        <f t="shared" si="2"/>
        <v>440.94</v>
      </c>
    </row>
    <row r="241" spans="1:13" ht="15" customHeight="1">
      <c r="A241" s="253" t="s">
        <v>237</v>
      </c>
      <c r="B241" s="389">
        <f>SUM(B242:B246)</f>
        <v>519.07999999999993</v>
      </c>
      <c r="C241" s="389">
        <f>SUM(C242:C246)</f>
        <v>1007.41</v>
      </c>
      <c r="D241" s="389">
        <f>SUM(D242:D246)</f>
        <v>37.549999999999997</v>
      </c>
      <c r="E241" s="390">
        <f>SUM(B241:D241)</f>
        <v>1564.0399999999997</v>
      </c>
      <c r="F241" s="389">
        <f>SUM(F242:F246)</f>
        <v>151.9</v>
      </c>
      <c r="G241" s="389">
        <f>SUM(G242:G246)</f>
        <v>911.56</v>
      </c>
      <c r="H241" s="389">
        <f>SUM(H242:H246)</f>
        <v>0</v>
      </c>
      <c r="I241" s="390">
        <f>SUM(F241:H241)</f>
        <v>1063.46</v>
      </c>
      <c r="J241" s="389">
        <f>SUM(J242:J246)</f>
        <v>103.62</v>
      </c>
      <c r="K241" s="389">
        <f>SUM(K242:K246)</f>
        <v>751.08</v>
      </c>
      <c r="L241" s="389">
        <f>SUM(L242:L246)</f>
        <v>0</v>
      </c>
      <c r="M241" s="391">
        <f t="shared" si="2"/>
        <v>854.7</v>
      </c>
    </row>
    <row r="242" spans="1:13">
      <c r="A242" s="146" t="s">
        <v>238</v>
      </c>
      <c r="B242" s="147">
        <v>364.14</v>
      </c>
      <c r="C242" s="147">
        <v>1007.41</v>
      </c>
      <c r="D242" s="147">
        <v>37.549999999999997</v>
      </c>
      <c r="E242" s="391">
        <f>SUM(B242:D242)</f>
        <v>1409.1</v>
      </c>
      <c r="F242" s="147">
        <v>1.72</v>
      </c>
      <c r="G242" s="147">
        <v>911.56</v>
      </c>
      <c r="H242" s="147">
        <v>0</v>
      </c>
      <c r="I242" s="391">
        <f t="shared" si="0"/>
        <v>913.28</v>
      </c>
      <c r="J242" s="147">
        <v>0</v>
      </c>
      <c r="K242" s="147">
        <v>173.33</v>
      </c>
      <c r="L242" s="147" t="s">
        <v>277</v>
      </c>
      <c r="M242" s="391">
        <f t="shared" si="2"/>
        <v>173.33</v>
      </c>
    </row>
    <row r="243" spans="1:13">
      <c r="A243" s="146" t="s">
        <v>239</v>
      </c>
      <c r="B243" s="147">
        <v>154.94</v>
      </c>
      <c r="C243" s="147">
        <v>0</v>
      </c>
      <c r="D243" s="147">
        <v>0</v>
      </c>
      <c r="E243" s="391">
        <f>SUM(B243:D243)</f>
        <v>154.94</v>
      </c>
      <c r="F243" s="147">
        <v>150.18</v>
      </c>
      <c r="G243" s="147">
        <v>0</v>
      </c>
      <c r="H243" s="147">
        <v>0</v>
      </c>
      <c r="I243" s="391">
        <f t="shared" si="0"/>
        <v>150.18</v>
      </c>
      <c r="J243" s="147">
        <v>103.62</v>
      </c>
      <c r="K243" s="147">
        <v>577.75</v>
      </c>
      <c r="L243" s="147" t="s">
        <v>277</v>
      </c>
      <c r="M243" s="391">
        <f t="shared" si="2"/>
        <v>681.37</v>
      </c>
    </row>
    <row r="244" spans="1:13">
      <c r="A244" s="92" t="s">
        <v>240</v>
      </c>
      <c r="B244" s="108">
        <v>0</v>
      </c>
      <c r="C244" s="108">
        <v>0</v>
      </c>
      <c r="D244" s="108">
        <v>0</v>
      </c>
      <c r="E244" s="392">
        <f t="shared" si="3"/>
        <v>0</v>
      </c>
      <c r="F244" s="108">
        <v>0</v>
      </c>
      <c r="G244" s="108">
        <v>0</v>
      </c>
      <c r="H244" s="108">
        <v>0</v>
      </c>
      <c r="I244" s="209">
        <f t="shared" si="0"/>
        <v>0</v>
      </c>
      <c r="J244" s="108">
        <v>0</v>
      </c>
      <c r="K244" s="108">
        <v>0</v>
      </c>
      <c r="L244" s="108">
        <v>0</v>
      </c>
      <c r="M244" s="209">
        <f t="shared" si="2"/>
        <v>0</v>
      </c>
    </row>
    <row r="245" spans="1:13">
      <c r="A245" s="182" t="s">
        <v>241</v>
      </c>
      <c r="B245" s="9">
        <v>0</v>
      </c>
      <c r="C245" s="9">
        <v>0</v>
      </c>
      <c r="D245" s="9">
        <v>0</v>
      </c>
      <c r="E245" s="393">
        <f t="shared" si="3"/>
        <v>0</v>
      </c>
      <c r="F245" s="9">
        <v>0</v>
      </c>
      <c r="G245" s="9">
        <v>0</v>
      </c>
      <c r="H245" s="9">
        <v>0</v>
      </c>
      <c r="I245" s="393">
        <f t="shared" si="0"/>
        <v>0</v>
      </c>
      <c r="J245" s="9">
        <v>0</v>
      </c>
      <c r="K245" s="9">
        <v>0</v>
      </c>
      <c r="L245" s="9">
        <v>0</v>
      </c>
      <c r="M245" s="393">
        <f t="shared" si="2"/>
        <v>0</v>
      </c>
    </row>
    <row r="246" spans="1:13">
      <c r="A246" s="92" t="s">
        <v>236</v>
      </c>
      <c r="B246" s="102">
        <v>0</v>
      </c>
      <c r="C246" s="102">
        <v>0</v>
      </c>
      <c r="D246" s="102">
        <v>0</v>
      </c>
      <c r="E246" s="392">
        <f t="shared" si="3"/>
        <v>0</v>
      </c>
      <c r="F246" s="102">
        <v>0</v>
      </c>
      <c r="G246" s="102">
        <v>0</v>
      </c>
      <c r="H246" s="102">
        <v>0</v>
      </c>
      <c r="I246" s="392">
        <f t="shared" si="0"/>
        <v>0</v>
      </c>
      <c r="J246" s="102">
        <v>0</v>
      </c>
      <c r="K246" s="102">
        <v>0</v>
      </c>
      <c r="L246" s="102">
        <v>0</v>
      </c>
      <c r="M246" s="392">
        <f t="shared" si="2"/>
        <v>0</v>
      </c>
    </row>
    <row r="247" spans="1:13">
      <c r="A247" s="65" t="s">
        <v>242</v>
      </c>
      <c r="B247" s="84"/>
      <c r="C247" s="84"/>
      <c r="D247" s="84"/>
      <c r="E247" s="207">
        <f>SUM(E241,E236)</f>
        <v>6275.72</v>
      </c>
      <c r="F247" s="143"/>
      <c r="G247" s="143"/>
      <c r="H247" s="143"/>
      <c r="I247" s="207">
        <f>SUM(I241,I236)</f>
        <v>5674.76</v>
      </c>
      <c r="J247" s="143"/>
      <c r="K247" s="143"/>
      <c r="L247" s="143"/>
      <c r="M247" s="207">
        <f>M241+M236</f>
        <v>4367.92</v>
      </c>
    </row>
    <row r="248" spans="1:13" ht="14.45" customHeight="1">
      <c r="A248" s="432" t="s">
        <v>291</v>
      </c>
      <c r="B248" s="433"/>
      <c r="C248" s="433"/>
      <c r="D248" s="433"/>
      <c r="E248" s="433"/>
      <c r="F248" s="433"/>
      <c r="G248" s="433"/>
    </row>
    <row r="249" spans="1:13" ht="14.85" customHeight="1">
      <c r="A249" s="264"/>
      <c r="B249" s="264"/>
      <c r="C249" s="264"/>
      <c r="D249" s="264"/>
    </row>
    <row r="250" spans="1:13" ht="24.6" customHeight="1">
      <c r="A250" s="4" t="s">
        <v>244</v>
      </c>
      <c r="B250" s="122" t="s">
        <v>245</v>
      </c>
      <c r="C250" s="122" t="s">
        <v>246</v>
      </c>
      <c r="D250" s="122" t="s">
        <v>247</v>
      </c>
      <c r="E250" s="122" t="s">
        <v>248</v>
      </c>
      <c r="F250" s="122" t="s">
        <v>249</v>
      </c>
      <c r="G250" s="122" t="s">
        <v>250</v>
      </c>
      <c r="H250" s="264"/>
      <c r="I250" s="264"/>
      <c r="J250" s="264"/>
      <c r="K250" s="264"/>
      <c r="L250" s="264"/>
      <c r="M250" s="264"/>
    </row>
    <row r="251" spans="1:13" ht="24.6">
      <c r="A251" s="123" t="s">
        <v>251</v>
      </c>
      <c r="B251" s="263"/>
      <c r="C251" s="263"/>
      <c r="D251" s="263"/>
      <c r="E251" s="263"/>
      <c r="H251" s="264"/>
      <c r="I251" s="264"/>
      <c r="J251" s="264"/>
      <c r="K251" s="264"/>
      <c r="L251" s="264"/>
      <c r="M251" s="264"/>
    </row>
    <row r="252" spans="1:13">
      <c r="A252" s="128" t="s">
        <v>252</v>
      </c>
      <c r="B252" s="6">
        <v>655.7</v>
      </c>
      <c r="C252" s="385">
        <f t="shared" ref="C252:C263" si="4">(B252/$B$264)*100</f>
        <v>59.472844030040271</v>
      </c>
      <c r="D252" s="6">
        <v>0</v>
      </c>
      <c r="E252" s="385">
        <f>IFERROR(D252/$D$264,0)</f>
        <v>0</v>
      </c>
      <c r="F252" s="6">
        <v>0</v>
      </c>
      <c r="G252" s="385">
        <f ca="1">F252/$F$264</f>
        <v>0</v>
      </c>
      <c r="H252" s="264"/>
      <c r="I252" s="264"/>
      <c r="J252" s="264"/>
      <c r="K252" s="264"/>
      <c r="L252" s="264"/>
      <c r="M252" s="264"/>
    </row>
    <row r="253" spans="1:13">
      <c r="A253" s="99" t="s">
        <v>253</v>
      </c>
      <c r="B253" s="72">
        <v>0</v>
      </c>
      <c r="C253" s="385">
        <f t="shared" si="4"/>
        <v>0</v>
      </c>
      <c r="D253" s="72">
        <v>0</v>
      </c>
      <c r="E253" s="142">
        <f>D253/$D$264</f>
        <v>0</v>
      </c>
      <c r="F253" s="72">
        <v>0</v>
      </c>
      <c r="G253" s="142">
        <f ca="1">F253/$F$264</f>
        <v>0</v>
      </c>
      <c r="H253" s="264"/>
      <c r="I253" s="264"/>
      <c r="J253" s="264"/>
      <c r="K253" s="264"/>
      <c r="L253" s="264"/>
      <c r="M253" s="264"/>
    </row>
    <row r="254" spans="1:13">
      <c r="A254" s="99" t="s">
        <v>254</v>
      </c>
      <c r="B254" s="72">
        <v>0</v>
      </c>
      <c r="C254" s="385">
        <f t="shared" si="4"/>
        <v>0</v>
      </c>
      <c r="D254" s="72">
        <v>0</v>
      </c>
      <c r="E254" s="142">
        <f>D254/$D$264</f>
        <v>0</v>
      </c>
      <c r="F254" s="72">
        <v>0</v>
      </c>
      <c r="G254" s="142">
        <f ca="1">F254/$F$264</f>
        <v>0</v>
      </c>
      <c r="H254" s="264"/>
      <c r="I254" s="264"/>
      <c r="J254" s="264"/>
      <c r="K254" s="264"/>
      <c r="L254" s="264"/>
      <c r="M254" s="264"/>
    </row>
    <row r="255" spans="1:13">
      <c r="A255" s="99" t="s">
        <v>255</v>
      </c>
      <c r="B255" s="72">
        <v>0</v>
      </c>
      <c r="C255" s="385">
        <f t="shared" si="4"/>
        <v>0</v>
      </c>
      <c r="D255" s="72">
        <f>-156953.56/1000</f>
        <v>-156.95356000000001</v>
      </c>
      <c r="E255" s="142">
        <f>(D255/$D$264)*100</f>
        <v>-7.7458350252338981</v>
      </c>
      <c r="F255" s="72">
        <v>1963.57</v>
      </c>
      <c r="G255" s="142">
        <f ca="1">(F255/$F$264)*100</f>
        <v>15.284221112411887</v>
      </c>
      <c r="H255" s="264"/>
      <c r="I255" s="264"/>
      <c r="J255" s="264"/>
      <c r="K255" s="264"/>
      <c r="L255" s="264"/>
      <c r="M255" s="264"/>
    </row>
    <row r="256" spans="1:13">
      <c r="A256" s="59" t="s">
        <v>256</v>
      </c>
      <c r="B256" s="108">
        <v>0</v>
      </c>
      <c r="C256" s="385">
        <f t="shared" si="4"/>
        <v>0</v>
      </c>
      <c r="D256" s="108">
        <v>0</v>
      </c>
      <c r="E256" s="141">
        <f>D256/$D$264</f>
        <v>0</v>
      </c>
      <c r="F256" s="108">
        <v>0</v>
      </c>
      <c r="G256" s="141">
        <f ca="1">F256/$F$264</f>
        <v>0</v>
      </c>
      <c r="H256" s="264"/>
      <c r="I256" s="264"/>
      <c r="J256" s="264"/>
      <c r="K256" s="264"/>
      <c r="L256" s="264"/>
      <c r="M256" s="264"/>
    </row>
    <row r="257" spans="1:13">
      <c r="A257" s="99" t="s">
        <v>257</v>
      </c>
      <c r="B257" s="72">
        <v>0</v>
      </c>
      <c r="C257" s="385">
        <f t="shared" si="4"/>
        <v>0</v>
      </c>
      <c r="D257" s="72">
        <v>0</v>
      </c>
      <c r="E257" s="142">
        <f>D257/$D$264</f>
        <v>0</v>
      </c>
      <c r="F257" s="72">
        <v>0</v>
      </c>
      <c r="G257" s="142">
        <f ca="1">F257/$F$264</f>
        <v>0</v>
      </c>
      <c r="H257" s="264"/>
      <c r="I257" s="264"/>
      <c r="J257" s="264"/>
      <c r="K257" s="264"/>
      <c r="L257" s="264"/>
      <c r="M257" s="264"/>
    </row>
    <row r="258" spans="1:13">
      <c r="A258" s="59" t="s">
        <v>258</v>
      </c>
      <c r="B258" s="108">
        <v>132.38999999999999</v>
      </c>
      <c r="C258" s="385">
        <f t="shared" si="4"/>
        <v>12.007945434096433</v>
      </c>
      <c r="D258" s="108">
        <f>1163178.81/1000</f>
        <v>1163.1788100000001</v>
      </c>
      <c r="E258" s="141">
        <f>(D258/$D$264)*100</f>
        <v>57.404184824529537</v>
      </c>
      <c r="F258" s="108">
        <v>716.8</v>
      </c>
      <c r="G258" s="141">
        <f ca="1">(F258/$F$264)*100</f>
        <v>5.5794953545719475</v>
      </c>
      <c r="H258" s="264"/>
      <c r="I258" s="264"/>
      <c r="J258" s="264"/>
      <c r="K258" s="264"/>
      <c r="L258" s="264"/>
      <c r="M258" s="264"/>
    </row>
    <row r="259" spans="1:13">
      <c r="A259" s="99" t="s">
        <v>259</v>
      </c>
      <c r="B259" s="72">
        <v>0</v>
      </c>
      <c r="C259" s="385">
        <f t="shared" si="4"/>
        <v>0</v>
      </c>
      <c r="D259" s="72">
        <v>0</v>
      </c>
      <c r="E259" s="142">
        <f>D259/$D$264</f>
        <v>0</v>
      </c>
      <c r="F259" s="72">
        <v>1.53</v>
      </c>
      <c r="G259" s="142">
        <f ca="1">(F259/$F$264)*100</f>
        <v>1.190935810894961E-2</v>
      </c>
      <c r="H259" s="264"/>
      <c r="I259" s="264"/>
      <c r="J259" s="264"/>
      <c r="K259" s="264"/>
      <c r="L259" s="264"/>
      <c r="M259" s="264"/>
    </row>
    <row r="260" spans="1:13" ht="14.85" customHeight="1">
      <c r="A260" s="92" t="s">
        <v>260</v>
      </c>
      <c r="B260" s="102">
        <v>0</v>
      </c>
      <c r="C260" s="385">
        <f t="shared" si="4"/>
        <v>0</v>
      </c>
      <c r="D260" s="102">
        <v>0</v>
      </c>
      <c r="E260" s="140">
        <f>D260/$D$264</f>
        <v>0</v>
      </c>
      <c r="F260" s="102">
        <v>0</v>
      </c>
      <c r="G260" s="140">
        <f ca="1">F260/$F$264</f>
        <v>0</v>
      </c>
      <c r="H260" s="264"/>
      <c r="I260" s="264"/>
      <c r="J260" s="264"/>
      <c r="K260" s="264"/>
      <c r="L260" s="264"/>
      <c r="M260" s="264"/>
    </row>
    <row r="261" spans="1:13">
      <c r="A261" s="99" t="s">
        <v>261</v>
      </c>
      <c r="B261" s="72">
        <v>0</v>
      </c>
      <c r="C261" s="385">
        <f t="shared" si="4"/>
        <v>0</v>
      </c>
      <c r="D261" s="72">
        <v>0</v>
      </c>
      <c r="E261" s="142">
        <f>D261/$D$264</f>
        <v>0</v>
      </c>
      <c r="F261" s="72">
        <v>0</v>
      </c>
      <c r="G261" s="142">
        <f ca="1">F261/$F$264</f>
        <v>0</v>
      </c>
      <c r="H261" s="264"/>
      <c r="I261" s="264"/>
      <c r="J261" s="264"/>
      <c r="K261" s="264"/>
      <c r="L261" s="264"/>
      <c r="M261" s="264"/>
    </row>
    <row r="262" spans="1:13">
      <c r="A262" s="99" t="s">
        <v>262</v>
      </c>
      <c r="B262" s="72">
        <v>0</v>
      </c>
      <c r="C262" s="385">
        <f t="shared" si="4"/>
        <v>0</v>
      </c>
      <c r="D262" s="72">
        <v>0</v>
      </c>
      <c r="E262" s="142">
        <f>D262/$D$264</f>
        <v>0</v>
      </c>
      <c r="F262" s="72">
        <v>0</v>
      </c>
      <c r="G262" s="142">
        <f ca="1">F262/$F$264</f>
        <v>0</v>
      </c>
      <c r="H262" s="264"/>
      <c r="I262" s="264"/>
      <c r="J262" s="264"/>
      <c r="K262" s="264"/>
      <c r="L262" s="264"/>
      <c r="M262" s="264"/>
    </row>
    <row r="263" spans="1:13">
      <c r="A263" s="99" t="s">
        <v>263</v>
      </c>
      <c r="B263" s="72">
        <v>314.43</v>
      </c>
      <c r="C263" s="385">
        <f t="shared" si="4"/>
        <v>28.519210535863298</v>
      </c>
      <c r="D263" s="72">
        <f>1020070.94/1000</f>
        <v>1020.07094</v>
      </c>
      <c r="E263" s="142">
        <f>(D263/$D$264)*100</f>
        <v>50.341650200704372</v>
      </c>
      <c r="F263" s="72">
        <v>529.86</v>
      </c>
      <c r="G263" s="142">
        <f ca="1">(F263/$F$264)*100</f>
        <v>3.2994993399257724</v>
      </c>
      <c r="H263" s="264"/>
      <c r="I263" s="264"/>
      <c r="J263" s="264"/>
      <c r="K263" s="264"/>
      <c r="L263" s="264"/>
      <c r="M263" s="264"/>
    </row>
    <row r="264" spans="1:13">
      <c r="A264" s="398" t="s">
        <v>229</v>
      </c>
      <c r="B264" s="400">
        <f t="shared" ref="B264:E264" si="5">SUM(B252:B263)</f>
        <v>1102.52</v>
      </c>
      <c r="C264" s="401">
        <f t="shared" si="5"/>
        <v>100</v>
      </c>
      <c r="D264" s="400">
        <f t="shared" si="5"/>
        <v>2026.29619</v>
      </c>
      <c r="E264" s="401">
        <f t="shared" si="5"/>
        <v>100</v>
      </c>
      <c r="F264" s="400">
        <f ca="1">SUM(F252:F264)</f>
        <v>16058.800000000001</v>
      </c>
      <c r="G264" s="401">
        <f ca="1">SUM(G252:G264)</f>
        <v>370.96021080861169</v>
      </c>
      <c r="H264" s="264"/>
      <c r="I264" s="264"/>
      <c r="J264" s="264"/>
      <c r="K264" s="264"/>
      <c r="L264" s="264"/>
      <c r="M264" s="264"/>
    </row>
    <row r="265" spans="1:13">
      <c r="A265" s="399"/>
      <c r="B265" s="399"/>
      <c r="C265" s="399"/>
      <c r="D265" s="399"/>
      <c r="E265" s="399"/>
      <c r="F265" s="402"/>
      <c r="G265" s="402"/>
      <c r="H265" s="264"/>
      <c r="I265" s="264"/>
      <c r="J265" s="264"/>
      <c r="K265" s="264"/>
      <c r="L265" s="264"/>
      <c r="M265" s="264"/>
    </row>
    <row r="266" spans="1:13">
      <c r="A266" s="264"/>
      <c r="B266" s="264"/>
      <c r="C266" s="264"/>
      <c r="D266" s="264"/>
      <c r="E266" s="264"/>
      <c r="H266" s="264"/>
      <c r="I266" s="264"/>
      <c r="J266" s="264"/>
      <c r="K266" s="264"/>
      <c r="L266" s="264"/>
      <c r="M266" s="264"/>
    </row>
    <row r="267" spans="1:13">
      <c r="A267" s="264"/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</row>
    <row r="268" spans="1:13">
      <c r="A268" s="264"/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</row>
    <row r="269" spans="1:13">
      <c r="A269" s="264"/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</row>
    <row r="270" spans="1:13">
      <c r="A270" s="264"/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</row>
    <row r="271" spans="1:13">
      <c r="A271" s="264"/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</row>
    <row r="272" spans="1:13">
      <c r="A272" s="264"/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</row>
    <row r="273" spans="1:13">
      <c r="A273" s="264"/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</row>
    <row r="274" spans="1:13">
      <c r="A274" s="264"/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</row>
    <row r="275" spans="1:13">
      <c r="A275" s="264"/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</row>
    <row r="276" spans="1:13">
      <c r="A276" s="264"/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</row>
    <row r="277" spans="1:13">
      <c r="A277" s="264"/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</row>
    <row r="278" spans="1:13">
      <c r="A278" s="264"/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</row>
    <row r="279" spans="1:13">
      <c r="A279" s="264"/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</row>
    <row r="280" spans="1:13">
      <c r="A280" s="299"/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</row>
    <row r="281" spans="1:13">
      <c r="A281" s="299"/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</row>
    <row r="282" spans="1:13">
      <c r="A282" s="299"/>
      <c r="B282" s="264"/>
      <c r="C282" s="264"/>
      <c r="D282" s="264"/>
      <c r="E282" s="264"/>
      <c r="F282" s="264"/>
      <c r="G282" s="264"/>
      <c r="H282" s="264"/>
      <c r="I282" s="264"/>
      <c r="J282" s="264"/>
      <c r="K282" s="264"/>
      <c r="L282" s="264"/>
      <c r="M282" s="264"/>
    </row>
    <row r="283" spans="1:13">
      <c r="A283" s="299"/>
      <c r="B283" s="264"/>
      <c r="C283" s="264"/>
      <c r="D283" s="264"/>
      <c r="E283" s="264"/>
      <c r="F283" s="264"/>
      <c r="G283" s="264"/>
      <c r="H283" s="264"/>
      <c r="I283" s="264"/>
      <c r="J283" s="264"/>
      <c r="K283" s="264"/>
      <c r="L283" s="264"/>
      <c r="M283" s="264"/>
    </row>
    <row r="284" spans="1:13">
      <c r="A284" s="299"/>
      <c r="B284" s="264"/>
      <c r="C284" s="264"/>
      <c r="D284" s="264"/>
      <c r="E284" s="264"/>
      <c r="F284" s="264"/>
      <c r="G284" s="264"/>
      <c r="H284" s="264"/>
      <c r="I284" s="264"/>
      <c r="J284" s="264"/>
      <c r="K284" s="264"/>
      <c r="L284" s="264"/>
      <c r="M284" s="264"/>
    </row>
    <row r="285" spans="1:13">
      <c r="A285" s="299"/>
      <c r="B285" s="264"/>
      <c r="C285" s="264"/>
      <c r="D285" s="264"/>
      <c r="E285" s="264"/>
      <c r="F285" s="264"/>
      <c r="G285" s="264"/>
      <c r="H285" s="264"/>
      <c r="I285" s="264"/>
      <c r="J285" s="264"/>
      <c r="K285" s="264"/>
      <c r="L285" s="264"/>
      <c r="M285" s="264"/>
    </row>
    <row r="286" spans="1:13">
      <c r="A286" s="299"/>
      <c r="B286" s="264"/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</row>
    <row r="287" spans="1:13">
      <c r="A287" s="299"/>
      <c r="B287" s="264"/>
      <c r="C287" s="264"/>
      <c r="D287" s="264"/>
      <c r="E287" s="264"/>
      <c r="F287" s="264"/>
      <c r="G287" s="264"/>
      <c r="H287" s="264"/>
      <c r="I287" s="264"/>
      <c r="J287" s="264"/>
      <c r="K287" s="264"/>
      <c r="L287" s="264"/>
      <c r="M287" s="264"/>
    </row>
    <row r="288" spans="1:13">
      <c r="A288" s="299"/>
      <c r="B288" s="264"/>
      <c r="C288" s="264"/>
      <c r="D288" s="264"/>
      <c r="E288" s="264"/>
      <c r="F288" s="264"/>
      <c r="G288" s="264"/>
      <c r="H288" s="264"/>
      <c r="I288" s="264"/>
      <c r="J288" s="264"/>
      <c r="K288" s="264"/>
      <c r="L288" s="264"/>
      <c r="M288" s="264"/>
    </row>
    <row r="289" spans="1:13">
      <c r="A289" s="299"/>
      <c r="B289" s="264"/>
      <c r="C289" s="264"/>
      <c r="D289" s="264"/>
      <c r="E289" s="264"/>
      <c r="F289" s="264"/>
      <c r="G289" s="264"/>
      <c r="H289" s="264"/>
      <c r="I289" s="264"/>
      <c r="J289" s="264"/>
      <c r="K289" s="264"/>
      <c r="L289" s="264"/>
      <c r="M289" s="264"/>
    </row>
    <row r="290" spans="1:13">
      <c r="A290" s="299"/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264"/>
      <c r="M290" s="264"/>
    </row>
    <row r="291" spans="1:13">
      <c r="A291" s="299"/>
      <c r="B291" s="264"/>
      <c r="C291" s="264"/>
      <c r="D291" s="264"/>
      <c r="F291" s="264"/>
      <c r="G291" s="264"/>
      <c r="H291" s="264"/>
      <c r="I291" s="264"/>
      <c r="J291" s="264"/>
      <c r="K291" s="264"/>
      <c r="L291" s="264"/>
      <c r="M291" s="264"/>
    </row>
    <row r="292" spans="1:13">
      <c r="A292" s="299"/>
      <c r="B292" s="264"/>
      <c r="C292" s="264"/>
      <c r="D292" s="264"/>
      <c r="F292" s="264"/>
      <c r="G292" s="264"/>
      <c r="H292" s="264"/>
      <c r="I292" s="264"/>
      <c r="J292" s="264"/>
      <c r="K292" s="264"/>
      <c r="L292" s="264"/>
      <c r="M292" s="264"/>
    </row>
    <row r="293" spans="1:13">
      <c r="A293" s="299"/>
      <c r="B293" s="264"/>
      <c r="C293" s="264"/>
      <c r="D293" s="264"/>
    </row>
    <row r="294" spans="1:13">
      <c r="A294" s="299"/>
      <c r="B294" s="264"/>
      <c r="C294" s="264"/>
      <c r="D294" s="264"/>
    </row>
    <row r="295" spans="1:13">
      <c r="A295" s="299"/>
      <c r="B295" s="264"/>
      <c r="C295" s="264"/>
      <c r="D295" s="264"/>
    </row>
    <row r="296" spans="1:13">
      <c r="A296" s="299"/>
      <c r="B296" s="264"/>
      <c r="C296" s="264"/>
      <c r="D296" s="264"/>
    </row>
    <row r="297" spans="1:13">
      <c r="A297" s="299"/>
      <c r="B297" s="264"/>
      <c r="C297" s="264"/>
      <c r="D297" s="264"/>
    </row>
    <row r="298" spans="1:13">
      <c r="A298" s="299"/>
      <c r="B298" s="264"/>
      <c r="C298" s="264"/>
      <c r="D298" s="264"/>
    </row>
    <row r="299" spans="1:13">
      <c r="A299" s="299"/>
    </row>
  </sheetData>
  <sheetProtection algorithmName="SHA-512" hashValue="YAW5LW0qqf8AE0BzriGKqaXVSLb/iMZ8S8YAK/DiYrOomdGgQTtAub63kl7yTQvqDJIc/P7hfYXHz3sg7ih7wg==" saltValue="FD/lj0Un0jkancszjfqrbw==" spinCount="100000" sheet="1" objects="1" scenarios="1"/>
  <mergeCells count="18">
    <mergeCell ref="A248:G248"/>
    <mergeCell ref="A149:D149"/>
    <mergeCell ref="T2:V2"/>
    <mergeCell ref="F232:I232"/>
    <mergeCell ref="J232:M232"/>
    <mergeCell ref="A10:D10"/>
    <mergeCell ref="A165:D165"/>
    <mergeCell ref="A6:D6"/>
    <mergeCell ref="A221:D221"/>
    <mergeCell ref="A24:D24"/>
    <mergeCell ref="A182:D182"/>
    <mergeCell ref="A206:D206"/>
    <mergeCell ref="A226:D226"/>
    <mergeCell ref="A176:D176"/>
    <mergeCell ref="B232:E232"/>
    <mergeCell ref="A8:D8"/>
    <mergeCell ref="F2:J2"/>
    <mergeCell ref="A186:D186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landscape" r:id="rId1"/>
  <customProperties>
    <customPr name="EpmWorksheetKeyString_GUID" r:id="rId2"/>
  </customProperties>
  <ignoredErrors>
    <ignoredError sqref="B194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6F93-EF25-48F0-8DBA-CFE56A921C88}">
  <sheetPr>
    <tabColor theme="9" tint="0.79998168889431442"/>
    <pageSetUpPr autoPageBreaks="0"/>
  </sheetPr>
  <dimension ref="A1:Z251"/>
  <sheetViews>
    <sheetView showGridLines="0" zoomScaleNormal="100" zoomScaleSheetLayoutView="90" workbookViewId="0">
      <pane ySplit="7" topLeftCell="A53" activePane="bottomLeft" state="frozen"/>
      <selection pane="bottomLeft" activeCell="A224" sqref="A224"/>
    </sheetView>
  </sheetViews>
  <sheetFormatPr defaultRowHeight="14.45"/>
  <cols>
    <col min="1" max="1" width="65.5703125" customWidth="1"/>
    <col min="2" max="13" width="13.42578125" customWidth="1"/>
    <col min="14" max="18" width="9" customWidth="1"/>
    <col min="20" max="20" width="54.42578125" customWidth="1"/>
    <col min="21" max="26" width="16.42578125" customWidth="1"/>
  </cols>
  <sheetData>
    <row r="1" spans="1:26"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/>
      <c r="U1" s="2"/>
      <c r="V1" s="2"/>
      <c r="W1" s="2"/>
      <c r="X1" s="2"/>
      <c r="Y1" s="2"/>
      <c r="Z1" s="2"/>
    </row>
    <row r="2" spans="1:26" ht="18.600000000000001">
      <c r="F2" s="409"/>
      <c r="G2" s="409"/>
      <c r="H2" s="409"/>
      <c r="I2" s="409"/>
      <c r="J2" s="409"/>
      <c r="T2" s="407"/>
      <c r="U2" s="407"/>
      <c r="V2" s="407"/>
    </row>
    <row r="6" spans="1:26" ht="23.45">
      <c r="A6" s="423" t="s">
        <v>292</v>
      </c>
      <c r="B6" s="424"/>
      <c r="C6" s="424"/>
      <c r="D6" s="424"/>
    </row>
    <row r="7" spans="1:26" ht="15" customHeight="1">
      <c r="A7" s="435"/>
      <c r="B7" s="436"/>
      <c r="C7" s="436"/>
      <c r="D7" s="436"/>
    </row>
    <row r="8" spans="1:26">
      <c r="A8" s="408" t="s">
        <v>293</v>
      </c>
      <c r="B8" s="408"/>
      <c r="C8" s="408"/>
      <c r="D8" s="408"/>
    </row>
    <row r="9" spans="1:26" ht="14.45" customHeight="1">
      <c r="A9" s="4" t="s">
        <v>9</v>
      </c>
      <c r="B9" s="122">
        <v>2025</v>
      </c>
      <c r="C9" s="122">
        <v>2024</v>
      </c>
      <c r="D9" s="122">
        <v>2023</v>
      </c>
    </row>
    <row r="10" spans="1:26">
      <c r="A10" s="422" t="s">
        <v>10</v>
      </c>
      <c r="B10" s="422"/>
      <c r="C10" s="422"/>
      <c r="D10" s="422"/>
    </row>
    <row r="11" spans="1:26">
      <c r="A11" s="128" t="s">
        <v>11</v>
      </c>
      <c r="B11" s="6">
        <v>426.9</v>
      </c>
      <c r="C11" s="6">
        <v>434.77</v>
      </c>
      <c r="D11" s="6">
        <v>462.3</v>
      </c>
    </row>
    <row r="12" spans="1:26">
      <c r="A12" s="99" t="s">
        <v>14</v>
      </c>
      <c r="B12" s="72">
        <v>534.39</v>
      </c>
      <c r="C12" s="72">
        <v>535.85</v>
      </c>
      <c r="D12" s="72">
        <v>534.29999999999995</v>
      </c>
    </row>
    <row r="13" spans="1:26">
      <c r="A13" s="99" t="s">
        <v>15</v>
      </c>
      <c r="B13" s="72">
        <v>116</v>
      </c>
      <c r="C13" s="72">
        <v>116</v>
      </c>
      <c r="D13" s="72">
        <v>116</v>
      </c>
    </row>
    <row r="14" spans="1:26">
      <c r="A14" s="4" t="s">
        <v>16</v>
      </c>
      <c r="B14" s="211">
        <v>2025</v>
      </c>
      <c r="C14" s="211">
        <v>2024</v>
      </c>
      <c r="D14" s="211">
        <v>2023</v>
      </c>
    </row>
    <row r="15" spans="1:26">
      <c r="A15" s="212" t="s">
        <v>17</v>
      </c>
      <c r="B15" s="213">
        <v>276314</v>
      </c>
      <c r="C15" s="214">
        <v>266588</v>
      </c>
      <c r="D15" s="214">
        <v>265630</v>
      </c>
    </row>
    <row r="16" spans="1:26">
      <c r="A16" s="99" t="s">
        <v>18</v>
      </c>
      <c r="B16" s="216">
        <v>272803</v>
      </c>
      <c r="C16" s="217">
        <v>263106</v>
      </c>
      <c r="D16" s="217">
        <v>262065</v>
      </c>
    </row>
    <row r="17" spans="1:4">
      <c r="A17" s="99" t="s">
        <v>19</v>
      </c>
      <c r="B17" s="216">
        <v>0</v>
      </c>
      <c r="C17" s="217">
        <v>0</v>
      </c>
      <c r="D17" s="217">
        <v>0</v>
      </c>
    </row>
    <row r="18" spans="1:4">
      <c r="A18" s="99" t="s">
        <v>20</v>
      </c>
      <c r="B18" s="216">
        <v>0</v>
      </c>
      <c r="C18" s="217">
        <v>0</v>
      </c>
      <c r="D18" s="217">
        <v>0</v>
      </c>
    </row>
    <row r="19" spans="1:4">
      <c r="A19" s="99" t="s">
        <v>21</v>
      </c>
      <c r="B19" s="218">
        <v>3511</v>
      </c>
      <c r="C19" s="217">
        <v>3482</v>
      </c>
      <c r="D19" s="217">
        <v>3565</v>
      </c>
    </row>
    <row r="20" spans="1:4">
      <c r="A20" s="99" t="s">
        <v>22</v>
      </c>
      <c r="B20" s="217">
        <v>0</v>
      </c>
      <c r="C20" s="217">
        <v>0</v>
      </c>
      <c r="D20" s="217">
        <v>0</v>
      </c>
    </row>
    <row r="21" spans="1:4">
      <c r="A21" s="219" t="s">
        <v>23</v>
      </c>
      <c r="B21" s="220">
        <v>-51757</v>
      </c>
      <c r="C21" s="221">
        <v>-41204</v>
      </c>
      <c r="D21" s="221">
        <v>-33008</v>
      </c>
    </row>
    <row r="22" spans="1:4">
      <c r="A22" s="99" t="s">
        <v>24</v>
      </c>
      <c r="B22" s="216">
        <v>-37953</v>
      </c>
      <c r="C22" s="217">
        <v>-29561</v>
      </c>
      <c r="D22" s="217">
        <v>-21629</v>
      </c>
    </row>
    <row r="23" spans="1:4" ht="14.45" customHeight="1">
      <c r="A23" s="99" t="s">
        <v>25</v>
      </c>
      <c r="B23" s="216">
        <v>182</v>
      </c>
      <c r="C23" s="217">
        <v>0</v>
      </c>
      <c r="D23" s="217">
        <v>0</v>
      </c>
    </row>
    <row r="24" spans="1:4">
      <c r="A24" s="99" t="s">
        <v>26</v>
      </c>
      <c r="B24" s="216">
        <v>0</v>
      </c>
      <c r="C24" s="217">
        <v>0</v>
      </c>
      <c r="D24" s="217">
        <v>0</v>
      </c>
    </row>
    <row r="25" spans="1:4">
      <c r="A25" s="99" t="s">
        <v>27</v>
      </c>
      <c r="B25" s="216">
        <v>-10817</v>
      </c>
      <c r="C25" s="217">
        <v>-8977</v>
      </c>
      <c r="D25" s="217">
        <v>-9138</v>
      </c>
    </row>
    <row r="26" spans="1:4">
      <c r="A26" s="99" t="s">
        <v>28</v>
      </c>
      <c r="B26" s="216">
        <v>-3169</v>
      </c>
      <c r="C26" s="217">
        <v>-2666</v>
      </c>
      <c r="D26" s="217">
        <v>-2241</v>
      </c>
    </row>
    <row r="27" spans="1:4">
      <c r="A27" s="219" t="s">
        <v>29</v>
      </c>
      <c r="B27" s="220">
        <v>224557</v>
      </c>
      <c r="C27" s="221">
        <v>225384</v>
      </c>
      <c r="D27" s="222">
        <v>232622</v>
      </c>
    </row>
    <row r="28" spans="1:4">
      <c r="A28" s="99" t="s">
        <v>30</v>
      </c>
      <c r="B28" s="216">
        <v>-21537</v>
      </c>
      <c r="C28" s="217">
        <v>-21056</v>
      </c>
      <c r="D28" s="217">
        <v>-20834</v>
      </c>
    </row>
    <row r="29" spans="1:4">
      <c r="A29" s="99" t="s">
        <v>31</v>
      </c>
      <c r="B29" s="216">
        <v>0</v>
      </c>
      <c r="C29" s="217">
        <v>0</v>
      </c>
      <c r="D29" s="217">
        <v>0</v>
      </c>
    </row>
    <row r="30" spans="1:4">
      <c r="A30" s="219" t="s">
        <v>32</v>
      </c>
      <c r="B30" s="220">
        <v>203020</v>
      </c>
      <c r="C30" s="221">
        <v>204328</v>
      </c>
      <c r="D30" s="221">
        <v>211788</v>
      </c>
    </row>
    <row r="31" spans="1:4">
      <c r="A31" s="99" t="s">
        <v>33</v>
      </c>
      <c r="B31" s="216">
        <v>0</v>
      </c>
      <c r="C31" s="217">
        <v>0</v>
      </c>
      <c r="D31" s="217">
        <v>0</v>
      </c>
    </row>
    <row r="32" spans="1:4">
      <c r="A32" s="99" t="s">
        <v>34</v>
      </c>
      <c r="B32" s="216">
        <v>0</v>
      </c>
      <c r="C32" s="217">
        <v>0</v>
      </c>
      <c r="D32" s="217">
        <v>0</v>
      </c>
    </row>
    <row r="33" spans="1:4">
      <c r="A33" s="99" t="s">
        <v>35</v>
      </c>
      <c r="B33" s="216">
        <v>15860</v>
      </c>
      <c r="C33" s="217">
        <v>14294</v>
      </c>
      <c r="D33" s="217">
        <v>30117</v>
      </c>
    </row>
    <row r="34" spans="1:4">
      <c r="A34" s="99" t="s">
        <v>36</v>
      </c>
      <c r="B34" s="216">
        <v>0</v>
      </c>
      <c r="C34" s="217">
        <v>0</v>
      </c>
      <c r="D34" s="217">
        <v>0</v>
      </c>
    </row>
    <row r="35" spans="1:4">
      <c r="A35" s="219" t="s">
        <v>37</v>
      </c>
      <c r="B35" s="220">
        <v>15860</v>
      </c>
      <c r="C35" s="221">
        <v>14294</v>
      </c>
      <c r="D35" s="221">
        <v>30117</v>
      </c>
    </row>
    <row r="36" spans="1:4">
      <c r="A36" s="151" t="s">
        <v>38</v>
      </c>
      <c r="B36" s="223">
        <v>218880</v>
      </c>
      <c r="C36" s="224">
        <v>218622</v>
      </c>
      <c r="D36" s="224">
        <v>241905</v>
      </c>
    </row>
    <row r="37" spans="1:4">
      <c r="A37" s="153" t="s">
        <v>39</v>
      </c>
      <c r="B37" s="225"/>
      <c r="C37" s="226"/>
      <c r="D37" s="226"/>
    </row>
    <row r="38" spans="1:4" ht="14.45" customHeight="1">
      <c r="A38" s="212" t="s">
        <v>40</v>
      </c>
      <c r="B38" s="227">
        <f>SUM(B39:B44)</f>
        <v>5043</v>
      </c>
      <c r="C38" s="228">
        <f>SUM(C39:C44)</f>
        <v>4621</v>
      </c>
      <c r="D38" s="228">
        <f>SUM(D39:D44)</f>
        <v>4171</v>
      </c>
    </row>
    <row r="39" spans="1:4">
      <c r="A39" s="99" t="s">
        <v>41</v>
      </c>
      <c r="B39" s="216">
        <v>3096</v>
      </c>
      <c r="C39" s="217">
        <f>2411+216</f>
        <v>2627</v>
      </c>
      <c r="D39" s="217">
        <f>2412+208</f>
        <v>2620</v>
      </c>
    </row>
    <row r="40" spans="1:4">
      <c r="A40" s="99" t="s">
        <v>42</v>
      </c>
      <c r="B40" s="216">
        <v>1720</v>
      </c>
      <c r="C40" s="217">
        <v>1804</v>
      </c>
      <c r="D40" s="217">
        <v>1362</v>
      </c>
    </row>
    <row r="41" spans="1:4">
      <c r="A41" s="99" t="s">
        <v>43</v>
      </c>
      <c r="B41" s="216">
        <v>227</v>
      </c>
      <c r="C41" s="217">
        <v>190</v>
      </c>
      <c r="D41" s="217">
        <v>189</v>
      </c>
    </row>
    <row r="42" spans="1:4" hidden="1">
      <c r="A42" s="215" t="s">
        <v>44</v>
      </c>
      <c r="B42" s="216">
        <v>0</v>
      </c>
      <c r="C42" s="217">
        <v>0</v>
      </c>
      <c r="D42" s="217">
        <v>0</v>
      </c>
    </row>
    <row r="43" spans="1:4" hidden="1">
      <c r="A43" s="215" t="s">
        <v>278</v>
      </c>
      <c r="B43" s="218">
        <v>0</v>
      </c>
      <c r="C43" s="217"/>
      <c r="D43" s="217"/>
    </row>
    <row r="44" spans="1:4" hidden="1">
      <c r="A44" s="215" t="s">
        <v>45</v>
      </c>
      <c r="B44" s="216">
        <v>0</v>
      </c>
      <c r="C44" s="217">
        <v>0</v>
      </c>
      <c r="D44" s="217">
        <v>0</v>
      </c>
    </row>
    <row r="45" spans="1:4">
      <c r="A45" s="219" t="s">
        <v>46</v>
      </c>
      <c r="B45" s="220">
        <v>81990</v>
      </c>
      <c r="C45" s="221">
        <v>81050</v>
      </c>
      <c r="D45" s="221">
        <v>87544</v>
      </c>
    </row>
    <row r="46" spans="1:4">
      <c r="A46" s="99" t="s">
        <v>47</v>
      </c>
      <c r="B46" s="216">
        <v>78693</v>
      </c>
      <c r="C46" s="217">
        <v>78181</v>
      </c>
      <c r="D46" s="217">
        <v>84621</v>
      </c>
    </row>
    <row r="47" spans="1:4">
      <c r="A47" s="99" t="s">
        <v>48</v>
      </c>
      <c r="B47" s="216">
        <v>3</v>
      </c>
      <c r="C47" s="217">
        <v>3</v>
      </c>
      <c r="D47" s="217">
        <v>8</v>
      </c>
    </row>
    <row r="48" spans="1:4">
      <c r="A48" s="99" t="s">
        <v>49</v>
      </c>
      <c r="B48" s="216">
        <v>3294</v>
      </c>
      <c r="C48" s="217">
        <v>2866</v>
      </c>
      <c r="D48" s="217">
        <v>2915</v>
      </c>
    </row>
    <row r="49" spans="1:5">
      <c r="A49" s="219" t="s">
        <v>50</v>
      </c>
      <c r="B49" s="220">
        <v>7994</v>
      </c>
      <c r="C49" s="221">
        <v>9352</v>
      </c>
      <c r="D49" s="221">
        <v>12011</v>
      </c>
    </row>
    <row r="50" spans="1:5">
      <c r="A50" s="99" t="s">
        <v>33</v>
      </c>
      <c r="B50" s="216">
        <v>20</v>
      </c>
      <c r="C50" s="217">
        <v>19</v>
      </c>
      <c r="D50" s="217">
        <v>12</v>
      </c>
    </row>
    <row r="51" spans="1:5">
      <c r="A51" s="99" t="s">
        <v>51</v>
      </c>
      <c r="B51" s="216">
        <v>7974</v>
      </c>
      <c r="C51" s="217">
        <v>9333</v>
      </c>
      <c r="D51" s="217">
        <v>11999</v>
      </c>
    </row>
    <row r="52" spans="1:5">
      <c r="A52" s="219" t="s">
        <v>52</v>
      </c>
      <c r="B52" s="229">
        <f>SUM(B53:B56)</f>
        <v>123853</v>
      </c>
      <c r="C52" s="230">
        <f>SUM(C53:C56)</f>
        <v>123599</v>
      </c>
      <c r="D52" s="230">
        <f>SUM(D53:D56)</f>
        <v>138179</v>
      </c>
    </row>
    <row r="53" spans="1:5">
      <c r="A53" s="99" t="s">
        <v>53</v>
      </c>
      <c r="B53" s="216">
        <v>16000</v>
      </c>
      <c r="C53" s="217">
        <v>17000</v>
      </c>
      <c r="D53" s="217">
        <v>25000</v>
      </c>
    </row>
    <row r="54" spans="1:5">
      <c r="A54" s="99" t="s">
        <v>54</v>
      </c>
      <c r="B54" s="216">
        <v>88000</v>
      </c>
      <c r="C54" s="217">
        <v>90000</v>
      </c>
      <c r="D54" s="217">
        <v>8119</v>
      </c>
    </row>
    <row r="55" spans="1:5">
      <c r="A55" s="99" t="s">
        <v>55</v>
      </c>
      <c r="B55" s="216">
        <v>19853</v>
      </c>
      <c r="C55" s="217">
        <v>16599</v>
      </c>
      <c r="D55" s="231">
        <v>105060</v>
      </c>
    </row>
    <row r="56" spans="1:5">
      <c r="A56" s="99" t="s">
        <v>56</v>
      </c>
      <c r="B56" s="216">
        <v>0</v>
      </c>
      <c r="C56" s="217">
        <v>0</v>
      </c>
      <c r="D56" s="231">
        <v>0</v>
      </c>
      <c r="E56" s="232"/>
    </row>
    <row r="57" spans="1:5">
      <c r="A57" s="233" t="s">
        <v>57</v>
      </c>
      <c r="B57" s="234">
        <v>218880</v>
      </c>
      <c r="C57" s="235">
        <v>218622</v>
      </c>
      <c r="D57" s="236">
        <v>241905</v>
      </c>
      <c r="E57" s="232"/>
    </row>
    <row r="58" spans="1:5">
      <c r="A58" s="4" t="s">
        <v>58</v>
      </c>
      <c r="B58" s="122">
        <v>2025</v>
      </c>
      <c r="C58" s="122">
        <v>2024</v>
      </c>
      <c r="D58" s="122">
        <v>2023</v>
      </c>
      <c r="E58" s="232"/>
    </row>
    <row r="59" spans="1:5">
      <c r="A59" s="87" t="s">
        <v>59</v>
      </c>
      <c r="B59" s="52"/>
      <c r="C59" s="52"/>
      <c r="D59" s="52"/>
      <c r="E59" s="232"/>
    </row>
    <row r="60" spans="1:5">
      <c r="A60" s="237" t="s">
        <v>60</v>
      </c>
      <c r="B60" s="161"/>
      <c r="C60" s="161"/>
      <c r="D60" s="162"/>
      <c r="E60" s="232"/>
    </row>
    <row r="61" spans="1:5">
      <c r="A61" s="99" t="s">
        <v>61</v>
      </c>
      <c r="B61" s="56">
        <v>20</v>
      </c>
      <c r="C61" s="56">
        <v>20</v>
      </c>
      <c r="D61" s="56">
        <v>19</v>
      </c>
      <c r="E61" s="232"/>
    </row>
    <row r="62" spans="1:5" ht="24.6">
      <c r="A62" s="99" t="s">
        <v>62</v>
      </c>
      <c r="B62" s="57">
        <v>18</v>
      </c>
      <c r="C62" s="56">
        <v>16</v>
      </c>
      <c r="D62" s="56">
        <v>13</v>
      </c>
      <c r="E62" s="232"/>
    </row>
    <row r="63" spans="1:5">
      <c r="A63" s="99" t="s">
        <v>63</v>
      </c>
      <c r="B63" s="58">
        <v>25</v>
      </c>
      <c r="C63" s="58">
        <v>25</v>
      </c>
      <c r="D63" s="238">
        <v>21</v>
      </c>
      <c r="E63" s="232"/>
    </row>
    <row r="64" spans="1:5">
      <c r="A64" s="99" t="s">
        <v>64</v>
      </c>
      <c r="B64" s="58">
        <v>55</v>
      </c>
      <c r="C64" s="58">
        <v>65</v>
      </c>
      <c r="D64" s="238">
        <v>74</v>
      </c>
      <c r="E64" s="232"/>
    </row>
    <row r="65" spans="1:5">
      <c r="A65" s="99" t="s">
        <v>65</v>
      </c>
      <c r="B65" s="58">
        <v>15</v>
      </c>
      <c r="C65" s="58">
        <v>10</v>
      </c>
      <c r="D65" s="238">
        <v>5</v>
      </c>
      <c r="E65" s="232"/>
    </row>
    <row r="66" spans="1:5">
      <c r="A66" s="99" t="s">
        <v>66</v>
      </c>
      <c r="B66" s="58">
        <v>5</v>
      </c>
      <c r="C66" s="58">
        <v>0</v>
      </c>
      <c r="D66" s="238">
        <v>0</v>
      </c>
    </row>
    <row r="67" spans="1:5">
      <c r="A67" s="59" t="s">
        <v>67</v>
      </c>
      <c r="B67" s="58">
        <v>25</v>
      </c>
      <c r="C67" s="60">
        <v>25</v>
      </c>
      <c r="D67" s="239">
        <v>16</v>
      </c>
    </row>
    <row r="68" spans="1:5">
      <c r="A68" s="99" t="s">
        <v>68</v>
      </c>
      <c r="B68" s="58">
        <v>0</v>
      </c>
      <c r="C68" s="58">
        <v>0</v>
      </c>
      <c r="D68" s="238">
        <v>0</v>
      </c>
    </row>
    <row r="69" spans="1:5">
      <c r="A69" s="59" t="s">
        <v>69</v>
      </c>
      <c r="B69" s="58">
        <v>10</v>
      </c>
      <c r="C69" s="60">
        <v>5</v>
      </c>
      <c r="D69" s="239">
        <v>0</v>
      </c>
    </row>
    <row r="70" spans="1:5">
      <c r="A70" s="99" t="s">
        <v>70</v>
      </c>
      <c r="B70" s="58">
        <v>20</v>
      </c>
      <c r="C70" s="58">
        <v>15</v>
      </c>
      <c r="D70" s="240">
        <v>15.8</v>
      </c>
    </row>
    <row r="71" spans="1:5" ht="24.6">
      <c r="A71" s="99" t="s">
        <v>71</v>
      </c>
      <c r="B71" s="58">
        <v>0</v>
      </c>
      <c r="C71" s="58">
        <v>0</v>
      </c>
      <c r="D71" s="238">
        <v>0</v>
      </c>
    </row>
    <row r="72" spans="1:5">
      <c r="A72" s="99" t="s">
        <v>72</v>
      </c>
      <c r="B72" s="58">
        <v>0</v>
      </c>
      <c r="C72" s="58">
        <v>0</v>
      </c>
      <c r="D72" s="238">
        <v>0</v>
      </c>
    </row>
    <row r="73" spans="1:5">
      <c r="A73" s="99" t="s">
        <v>73</v>
      </c>
      <c r="B73" s="58">
        <v>0</v>
      </c>
      <c r="C73" s="58">
        <v>0</v>
      </c>
      <c r="D73" s="238">
        <v>0</v>
      </c>
    </row>
    <row r="74" spans="1:5">
      <c r="A74" s="99" t="s">
        <v>74</v>
      </c>
      <c r="B74" s="241">
        <v>0</v>
      </c>
      <c r="C74" s="241">
        <v>0</v>
      </c>
      <c r="D74" s="242">
        <v>0</v>
      </c>
    </row>
    <row r="75" spans="1:5">
      <c r="A75" s="65" t="s">
        <v>75</v>
      </c>
      <c r="B75" s="58"/>
      <c r="C75" s="70"/>
      <c r="D75" s="70"/>
    </row>
    <row r="76" spans="1:5">
      <c r="A76" s="62" t="s">
        <v>76</v>
      </c>
      <c r="B76" s="170">
        <v>2630</v>
      </c>
      <c r="C76" s="243">
        <v>2411</v>
      </c>
      <c r="D76" s="172">
        <v>2425</v>
      </c>
    </row>
    <row r="77" spans="1:5">
      <c r="A77" s="64" t="s">
        <v>77</v>
      </c>
      <c r="B77" s="173">
        <v>918</v>
      </c>
      <c r="C77" s="244">
        <v>828</v>
      </c>
      <c r="D77" s="174">
        <v>832</v>
      </c>
    </row>
    <row r="78" spans="1:5">
      <c r="A78" s="65" t="s">
        <v>42</v>
      </c>
      <c r="B78" s="66">
        <v>1430</v>
      </c>
      <c r="C78" s="66">
        <f>SUM(C79:C88)</f>
        <v>1391</v>
      </c>
      <c r="D78" s="66">
        <f>SUM(D79:D88)</f>
        <v>1348</v>
      </c>
    </row>
    <row r="79" spans="1:5">
      <c r="A79" s="99" t="s">
        <v>78</v>
      </c>
      <c r="B79" s="67">
        <v>3</v>
      </c>
      <c r="C79" s="67">
        <v>4</v>
      </c>
      <c r="D79" s="67">
        <v>15</v>
      </c>
    </row>
    <row r="80" spans="1:5">
      <c r="A80" s="99" t="s">
        <v>79</v>
      </c>
      <c r="B80" s="67">
        <v>453</v>
      </c>
      <c r="C80" s="67">
        <v>451</v>
      </c>
      <c r="D80" s="67">
        <v>373</v>
      </c>
    </row>
    <row r="81" spans="1:4">
      <c r="A81" s="99" t="s">
        <v>80</v>
      </c>
      <c r="B81" s="67">
        <v>568</v>
      </c>
      <c r="C81" s="67">
        <v>569</v>
      </c>
      <c r="D81" s="55">
        <v>566</v>
      </c>
    </row>
    <row r="82" spans="1:4">
      <c r="A82" s="99" t="s">
        <v>81</v>
      </c>
      <c r="B82" s="67">
        <v>309</v>
      </c>
      <c r="C82" s="67">
        <v>264</v>
      </c>
      <c r="D82" s="55">
        <v>224</v>
      </c>
    </row>
    <row r="83" spans="1:4">
      <c r="A83" s="99" t="s">
        <v>82</v>
      </c>
      <c r="B83" s="67">
        <v>16</v>
      </c>
      <c r="C83" s="67">
        <v>15</v>
      </c>
      <c r="D83" s="67">
        <v>14</v>
      </c>
    </row>
    <row r="84" spans="1:4">
      <c r="A84" s="99" t="s">
        <v>83</v>
      </c>
      <c r="B84" s="67">
        <v>6</v>
      </c>
      <c r="C84" s="67">
        <v>29</v>
      </c>
      <c r="D84" s="67">
        <v>90</v>
      </c>
    </row>
    <row r="85" spans="1:4">
      <c r="A85" s="99" t="s">
        <v>84</v>
      </c>
      <c r="B85" s="67">
        <v>0</v>
      </c>
      <c r="C85" s="67">
        <v>0</v>
      </c>
      <c r="D85" s="67">
        <v>0</v>
      </c>
    </row>
    <row r="86" spans="1:4">
      <c r="A86" s="99" t="s">
        <v>85</v>
      </c>
      <c r="B86" s="67">
        <v>39</v>
      </c>
      <c r="C86" s="67">
        <v>20</v>
      </c>
      <c r="D86" s="67">
        <v>37</v>
      </c>
    </row>
    <row r="87" spans="1:4">
      <c r="A87" s="99" t="s">
        <v>86</v>
      </c>
      <c r="B87" s="67">
        <v>14</v>
      </c>
      <c r="C87" s="67">
        <v>17</v>
      </c>
      <c r="D87" s="67">
        <v>8</v>
      </c>
    </row>
    <row r="88" spans="1:4">
      <c r="A88" s="59" t="s">
        <v>87</v>
      </c>
      <c r="B88" s="67">
        <v>22</v>
      </c>
      <c r="C88" s="68">
        <v>22</v>
      </c>
      <c r="D88" s="69">
        <v>21</v>
      </c>
    </row>
    <row r="89" spans="1:4">
      <c r="A89" s="65" t="s">
        <v>88</v>
      </c>
      <c r="B89" s="67"/>
      <c r="C89" s="70"/>
      <c r="D89" s="70"/>
    </row>
    <row r="90" spans="1:4" ht="14.45" customHeight="1">
      <c r="A90" s="99" t="s">
        <v>89</v>
      </c>
      <c r="B90" s="67">
        <v>213</v>
      </c>
      <c r="C90" s="67">
        <v>216</v>
      </c>
      <c r="D90" s="67">
        <v>208</v>
      </c>
    </row>
    <row r="91" spans="1:4">
      <c r="A91" s="59" t="s">
        <v>90</v>
      </c>
      <c r="B91" s="67">
        <v>8</v>
      </c>
      <c r="C91" s="68">
        <v>0.09</v>
      </c>
      <c r="D91" s="71">
        <v>9</v>
      </c>
    </row>
    <row r="92" spans="1:4">
      <c r="A92" s="99" t="s">
        <v>91</v>
      </c>
      <c r="B92" s="72">
        <v>2.8</v>
      </c>
      <c r="C92" s="72">
        <v>2.02</v>
      </c>
      <c r="D92" s="72">
        <v>1.93</v>
      </c>
    </row>
    <row r="93" spans="1:4">
      <c r="A93" s="99" t="s">
        <v>92</v>
      </c>
      <c r="B93" s="72">
        <v>5.58</v>
      </c>
      <c r="C93" s="72">
        <v>6.6</v>
      </c>
      <c r="D93" s="72">
        <v>5.86</v>
      </c>
    </row>
    <row r="94" spans="1:4">
      <c r="A94" s="65" t="s">
        <v>93</v>
      </c>
      <c r="B94" s="67"/>
      <c r="C94" s="70"/>
      <c r="D94" s="70"/>
    </row>
    <row r="95" spans="1:4">
      <c r="A95" s="99" t="s">
        <v>94</v>
      </c>
      <c r="B95" s="72">
        <v>0</v>
      </c>
      <c r="C95" s="106">
        <v>0</v>
      </c>
      <c r="D95" s="106">
        <v>0</v>
      </c>
    </row>
    <row r="96" spans="1:4">
      <c r="A96" s="99" t="s">
        <v>95</v>
      </c>
      <c r="B96" s="106">
        <v>15227</v>
      </c>
      <c r="C96" s="106">
        <v>12517.55</v>
      </c>
      <c r="D96" s="106">
        <v>9665.4</v>
      </c>
    </row>
    <row r="97" spans="1:4">
      <c r="A97" s="99" t="s">
        <v>96</v>
      </c>
      <c r="B97" s="106">
        <v>5334</v>
      </c>
      <c r="C97" s="106">
        <v>3932.29</v>
      </c>
      <c r="D97" s="106">
        <v>7811.68</v>
      </c>
    </row>
    <row r="98" spans="1:4">
      <c r="A98" s="99" t="s">
        <v>97</v>
      </c>
      <c r="B98" s="106">
        <v>4207</v>
      </c>
      <c r="C98" s="106">
        <v>4194.6971428571433</v>
      </c>
      <c r="D98" s="106">
        <v>9414.7800000000007</v>
      </c>
    </row>
    <row r="99" spans="1:4">
      <c r="A99" s="65" t="s">
        <v>98</v>
      </c>
      <c r="B99" s="70"/>
      <c r="D99" s="70"/>
    </row>
    <row r="100" spans="1:4">
      <c r="A100" s="99" t="s">
        <v>99</v>
      </c>
      <c r="B100" s="67">
        <v>60.74</v>
      </c>
      <c r="C100" s="67">
        <v>60.08</v>
      </c>
      <c r="D100" s="67">
        <v>46</v>
      </c>
    </row>
    <row r="101" spans="1:4">
      <c r="A101" s="59" t="s">
        <v>100</v>
      </c>
      <c r="B101" s="67">
        <v>0</v>
      </c>
      <c r="C101" s="68">
        <v>0</v>
      </c>
      <c r="D101" s="68">
        <v>0</v>
      </c>
    </row>
    <row r="102" spans="1:4">
      <c r="A102" s="99" t="s">
        <v>101</v>
      </c>
      <c r="B102" s="67">
        <v>0</v>
      </c>
      <c r="C102" s="67">
        <v>0</v>
      </c>
      <c r="D102" s="67">
        <v>0</v>
      </c>
    </row>
    <row r="103" spans="1:4">
      <c r="A103" s="99" t="s">
        <v>102</v>
      </c>
      <c r="B103" s="67">
        <v>0</v>
      </c>
      <c r="C103" s="67">
        <v>0</v>
      </c>
      <c r="D103" s="67">
        <v>53.9</v>
      </c>
    </row>
    <row r="104" spans="1:4">
      <c r="A104" s="99" t="s">
        <v>103</v>
      </c>
      <c r="B104" s="67">
        <v>0</v>
      </c>
      <c r="C104" s="67">
        <v>0</v>
      </c>
      <c r="D104" s="67">
        <v>188.5</v>
      </c>
    </row>
    <row r="105" spans="1:4" ht="24.6">
      <c r="A105" s="99" t="s">
        <v>104</v>
      </c>
      <c r="B105" s="67">
        <v>0</v>
      </c>
      <c r="C105" s="67">
        <v>0</v>
      </c>
      <c r="D105" s="67">
        <v>28.8</v>
      </c>
    </row>
    <row r="106" spans="1:4" ht="14.45" customHeight="1">
      <c r="A106" s="59" t="s">
        <v>105</v>
      </c>
      <c r="B106" s="67">
        <v>0</v>
      </c>
      <c r="C106" s="68">
        <v>0</v>
      </c>
      <c r="D106" s="68">
        <v>100.9</v>
      </c>
    </row>
    <row r="107" spans="1:4">
      <c r="A107" s="99" t="s">
        <v>106</v>
      </c>
      <c r="B107" s="67">
        <v>0</v>
      </c>
      <c r="C107" s="67">
        <v>0</v>
      </c>
      <c r="D107" s="67">
        <v>0</v>
      </c>
    </row>
    <row r="108" spans="1:4">
      <c r="A108" s="99" t="s">
        <v>107</v>
      </c>
      <c r="B108" s="67">
        <v>0</v>
      </c>
      <c r="C108" s="67">
        <v>0</v>
      </c>
      <c r="D108" s="67">
        <v>0</v>
      </c>
    </row>
    <row r="109" spans="1:4">
      <c r="A109" s="99" t="s">
        <v>108</v>
      </c>
      <c r="B109" s="67">
        <v>0</v>
      </c>
      <c r="C109" s="67">
        <v>0</v>
      </c>
      <c r="D109" s="67">
        <v>0</v>
      </c>
    </row>
    <row r="110" spans="1:4">
      <c r="A110" s="99" t="s">
        <v>109</v>
      </c>
      <c r="B110" s="67">
        <v>0</v>
      </c>
      <c r="C110" s="67">
        <v>0</v>
      </c>
      <c r="D110" s="67">
        <v>0</v>
      </c>
    </row>
    <row r="111" spans="1:4">
      <c r="A111" s="65" t="s">
        <v>111</v>
      </c>
      <c r="B111" s="67"/>
      <c r="C111" s="245"/>
      <c r="D111" s="70"/>
    </row>
    <row r="112" spans="1:4">
      <c r="A112" s="99" t="s">
        <v>112</v>
      </c>
      <c r="B112" s="67">
        <v>0</v>
      </c>
      <c r="C112" s="73">
        <v>0</v>
      </c>
      <c r="D112" s="73">
        <v>0</v>
      </c>
    </row>
    <row r="113" spans="1:4">
      <c r="A113" s="74" t="s">
        <v>113</v>
      </c>
      <c r="B113" s="67">
        <v>50</v>
      </c>
      <c r="C113" s="75">
        <v>60</v>
      </c>
      <c r="D113" s="75">
        <v>63</v>
      </c>
    </row>
    <row r="114" spans="1:4">
      <c r="A114" s="62" t="s">
        <v>114</v>
      </c>
      <c r="B114" s="67">
        <v>40</v>
      </c>
      <c r="C114" s="76">
        <v>30</v>
      </c>
      <c r="D114" s="76">
        <v>16</v>
      </c>
    </row>
    <row r="115" spans="1:4">
      <c r="A115" s="62" t="s">
        <v>115</v>
      </c>
      <c r="B115" s="67">
        <v>10</v>
      </c>
      <c r="C115" s="77">
        <v>10</v>
      </c>
      <c r="D115" s="76">
        <v>21</v>
      </c>
    </row>
    <row r="116" spans="1:4" ht="14.85" customHeight="1">
      <c r="A116" s="64" t="s">
        <v>116</v>
      </c>
      <c r="B116" s="79">
        <v>0</v>
      </c>
      <c r="C116" s="77">
        <v>0</v>
      </c>
      <c r="D116" s="77">
        <v>0</v>
      </c>
    </row>
    <row r="117" spans="1:4">
      <c r="A117" s="59" t="s">
        <v>117</v>
      </c>
      <c r="B117" s="73">
        <v>48.6</v>
      </c>
      <c r="C117" s="79">
        <v>4.4000000000000004</v>
      </c>
      <c r="D117" s="79">
        <v>13.1</v>
      </c>
    </row>
    <row r="118" spans="1:4">
      <c r="A118" s="65" t="s">
        <v>118</v>
      </c>
      <c r="B118" s="79"/>
      <c r="C118" s="70"/>
      <c r="D118" s="70"/>
    </row>
    <row r="119" spans="1:4">
      <c r="A119" s="59" t="s">
        <v>119</v>
      </c>
      <c r="B119" s="73">
        <v>0</v>
      </c>
      <c r="C119" s="79">
        <v>0</v>
      </c>
      <c r="D119" s="79">
        <v>0</v>
      </c>
    </row>
    <row r="120" spans="1:4">
      <c r="A120" s="99" t="s">
        <v>120</v>
      </c>
      <c r="B120" s="73">
        <v>119.6</v>
      </c>
      <c r="C120" s="73">
        <v>42.6</v>
      </c>
      <c r="D120" s="73">
        <v>191.3</v>
      </c>
    </row>
    <row r="121" spans="1:4">
      <c r="A121" s="59" t="s">
        <v>121</v>
      </c>
      <c r="B121" s="79">
        <v>10</v>
      </c>
      <c r="C121" s="79">
        <v>1.2</v>
      </c>
      <c r="D121" s="79">
        <v>14.6</v>
      </c>
    </row>
    <row r="122" spans="1:4">
      <c r="A122" s="99" t="s">
        <v>122</v>
      </c>
      <c r="B122" s="73">
        <v>208.1</v>
      </c>
      <c r="C122" s="73">
        <v>232.5</v>
      </c>
      <c r="D122" s="73">
        <v>342</v>
      </c>
    </row>
    <row r="123" spans="1:4">
      <c r="A123" s="59" t="s">
        <v>123</v>
      </c>
      <c r="B123" s="79">
        <v>112.5</v>
      </c>
      <c r="C123" s="79">
        <v>92.1</v>
      </c>
      <c r="D123" s="79">
        <v>182.6</v>
      </c>
    </row>
    <row r="124" spans="1:4">
      <c r="A124" s="65" t="s">
        <v>124</v>
      </c>
      <c r="B124" s="70"/>
      <c r="C124" s="70"/>
      <c r="D124" s="70"/>
    </row>
    <row r="125" spans="1:4">
      <c r="A125" s="99" t="s">
        <v>125</v>
      </c>
      <c r="B125" s="67">
        <v>20</v>
      </c>
      <c r="C125" s="67">
        <v>20</v>
      </c>
      <c r="D125" s="67">
        <v>19</v>
      </c>
    </row>
    <row r="126" spans="1:4">
      <c r="A126" s="59" t="s">
        <v>126</v>
      </c>
      <c r="B126" s="67">
        <v>2</v>
      </c>
      <c r="C126" s="68">
        <v>4</v>
      </c>
      <c r="D126" s="68">
        <v>1</v>
      </c>
    </row>
    <row r="127" spans="1:4">
      <c r="A127" s="99" t="s">
        <v>127</v>
      </c>
      <c r="B127" s="82">
        <v>0.1</v>
      </c>
      <c r="C127" s="82">
        <v>0.1</v>
      </c>
      <c r="D127" s="82">
        <v>0.1053</v>
      </c>
    </row>
    <row r="128" spans="1:4">
      <c r="A128" s="83" t="s">
        <v>128</v>
      </c>
      <c r="C128" s="85"/>
      <c r="D128" s="85"/>
    </row>
    <row r="129" spans="1:4">
      <c r="A129" s="99" t="s">
        <v>294</v>
      </c>
      <c r="B129" s="67">
        <v>0</v>
      </c>
      <c r="C129" s="67">
        <v>0</v>
      </c>
      <c r="D129" s="67">
        <v>0</v>
      </c>
    </row>
    <row r="130" spans="1:4">
      <c r="A130" s="99" t="s">
        <v>279</v>
      </c>
      <c r="B130" s="67">
        <v>0</v>
      </c>
      <c r="C130" s="67">
        <v>0</v>
      </c>
      <c r="D130" s="67">
        <v>0</v>
      </c>
    </row>
    <row r="131" spans="1:4">
      <c r="A131" s="99" t="s">
        <v>131</v>
      </c>
      <c r="B131" s="67">
        <v>0</v>
      </c>
      <c r="C131" s="67">
        <v>0</v>
      </c>
      <c r="D131" s="67">
        <v>0</v>
      </c>
    </row>
    <row r="132" spans="1:4">
      <c r="A132" s="99" t="s">
        <v>132</v>
      </c>
      <c r="B132" s="67">
        <v>0</v>
      </c>
      <c r="C132" s="67">
        <v>0</v>
      </c>
      <c r="D132" s="67">
        <v>0</v>
      </c>
    </row>
    <row r="133" spans="1:4">
      <c r="A133" s="99" t="s">
        <v>133</v>
      </c>
      <c r="B133" s="67">
        <v>0</v>
      </c>
      <c r="C133" s="67">
        <v>0</v>
      </c>
      <c r="D133" s="67">
        <v>0</v>
      </c>
    </row>
    <row r="134" spans="1:4">
      <c r="A134" s="65" t="s">
        <v>135</v>
      </c>
      <c r="C134" s="70"/>
      <c r="D134" s="70"/>
    </row>
    <row r="135" spans="1:4">
      <c r="A135" s="99" t="s">
        <v>136</v>
      </c>
      <c r="B135" s="86">
        <v>19</v>
      </c>
      <c r="C135" s="67">
        <f>15278/1000</f>
        <v>15.278</v>
      </c>
      <c r="D135" s="67">
        <v>17</v>
      </c>
    </row>
    <row r="136" spans="1:4">
      <c r="A136" s="99" t="s">
        <v>137</v>
      </c>
      <c r="B136" s="86">
        <v>16</v>
      </c>
      <c r="C136" s="67">
        <v>19</v>
      </c>
      <c r="D136" s="67">
        <v>17</v>
      </c>
    </row>
    <row r="137" spans="1:4">
      <c r="A137" s="4" t="s">
        <v>138</v>
      </c>
      <c r="B137" s="122">
        <v>2025</v>
      </c>
      <c r="C137" s="122">
        <v>2024</v>
      </c>
      <c r="D137" s="122">
        <v>2023</v>
      </c>
    </row>
    <row r="138" spans="1:4">
      <c r="A138" s="87" t="s">
        <v>139</v>
      </c>
      <c r="B138" s="52"/>
      <c r="C138" s="52"/>
      <c r="D138" s="52"/>
    </row>
    <row r="139" spans="1:4">
      <c r="A139" s="88" t="s">
        <v>140</v>
      </c>
      <c r="B139" s="89"/>
      <c r="C139" s="89"/>
      <c r="D139" s="90"/>
    </row>
    <row r="140" spans="1:4">
      <c r="A140" s="99" t="s">
        <v>141</v>
      </c>
      <c r="B140" s="67">
        <v>0</v>
      </c>
      <c r="C140" s="67">
        <v>0</v>
      </c>
      <c r="D140" s="67">
        <v>0</v>
      </c>
    </row>
    <row r="141" spans="1:4">
      <c r="A141" s="99" t="s">
        <v>142</v>
      </c>
      <c r="B141" s="67">
        <v>0</v>
      </c>
      <c r="C141" s="67">
        <v>0</v>
      </c>
      <c r="D141" s="67">
        <v>0</v>
      </c>
    </row>
    <row r="142" spans="1:4">
      <c r="A142" s="99" t="s">
        <v>143</v>
      </c>
      <c r="B142" s="67">
        <v>0</v>
      </c>
      <c r="C142" s="67">
        <v>0</v>
      </c>
      <c r="D142" s="67">
        <v>0</v>
      </c>
    </row>
    <row r="143" spans="1:4" s="246" customFormat="1" ht="14.85" customHeight="1">
      <c r="A143" s="65" t="s">
        <v>144</v>
      </c>
      <c r="B143" s="93"/>
      <c r="C143" s="70"/>
      <c r="D143" s="70"/>
    </row>
    <row r="144" spans="1:4">
      <c r="A144" s="92" t="s">
        <v>145</v>
      </c>
      <c r="B144" s="93">
        <v>0</v>
      </c>
      <c r="C144" s="93" t="s">
        <v>146</v>
      </c>
      <c r="D144" s="93">
        <v>0</v>
      </c>
    </row>
    <row r="145" spans="1:4">
      <c r="A145" s="99" t="s">
        <v>147</v>
      </c>
      <c r="B145" s="93">
        <v>244.2</v>
      </c>
      <c r="C145" s="73" t="s">
        <v>146</v>
      </c>
      <c r="D145" s="73">
        <v>218</v>
      </c>
    </row>
    <row r="146" spans="1:4">
      <c r="A146" s="99" t="s">
        <v>148</v>
      </c>
      <c r="B146" s="93">
        <v>976.8</v>
      </c>
      <c r="C146" s="73" t="s">
        <v>146</v>
      </c>
      <c r="D146" s="73">
        <v>870</v>
      </c>
    </row>
    <row r="147" spans="1:4">
      <c r="A147" s="99" t="s">
        <v>149</v>
      </c>
      <c r="B147" s="93">
        <v>488.4</v>
      </c>
      <c r="C147" s="73" t="s">
        <v>146</v>
      </c>
      <c r="D147" s="73">
        <v>404</v>
      </c>
    </row>
    <row r="148" spans="1:4" ht="14.85" customHeight="1">
      <c r="A148" s="201" t="s">
        <v>150</v>
      </c>
      <c r="B148" s="103">
        <v>488.4</v>
      </c>
      <c r="C148" s="73">
        <v>0</v>
      </c>
      <c r="D148" s="73">
        <v>0</v>
      </c>
    </row>
    <row r="149" spans="1:4" ht="15" customHeight="1">
      <c r="A149" s="99" t="s">
        <v>151</v>
      </c>
      <c r="B149" s="73">
        <v>0</v>
      </c>
      <c r="C149" s="73">
        <v>0</v>
      </c>
      <c r="D149" s="73">
        <v>0</v>
      </c>
    </row>
    <row r="150" spans="1:4" ht="24.6">
      <c r="A150" s="99" t="s">
        <v>152</v>
      </c>
      <c r="B150" s="73">
        <v>0</v>
      </c>
      <c r="C150" s="73">
        <v>0</v>
      </c>
      <c r="D150" s="73">
        <v>0</v>
      </c>
    </row>
    <row r="151" spans="1:4">
      <c r="A151" s="196" t="s">
        <v>153</v>
      </c>
      <c r="B151" s="247"/>
      <c r="C151" s="247"/>
      <c r="D151" s="247"/>
    </row>
    <row r="152" spans="1:4" ht="24" customHeight="1">
      <c r="A152" s="412" t="s">
        <v>154</v>
      </c>
      <c r="B152" s="412"/>
      <c r="C152" s="412"/>
      <c r="D152" s="412"/>
    </row>
    <row r="153" spans="1:4">
      <c r="A153" s="92" t="s">
        <v>155</v>
      </c>
      <c r="B153" s="94">
        <v>2197.8000000000002</v>
      </c>
      <c r="C153" s="94">
        <f>1713153.49/1000</f>
        <v>1713.1534899999999</v>
      </c>
      <c r="D153" s="94">
        <v>1492</v>
      </c>
    </row>
    <row r="154" spans="1:4">
      <c r="A154" s="59" t="s">
        <v>156</v>
      </c>
      <c r="B154" s="94">
        <v>8</v>
      </c>
      <c r="C154" s="68">
        <v>4</v>
      </c>
      <c r="D154" s="68">
        <v>3</v>
      </c>
    </row>
    <row r="155" spans="1:4" ht="14.45" customHeight="1">
      <c r="A155" s="99" t="s">
        <v>157</v>
      </c>
      <c r="B155" s="94">
        <v>830</v>
      </c>
      <c r="C155" s="67">
        <f>856576.74/1000</f>
        <v>856.57673999999997</v>
      </c>
      <c r="D155" s="67">
        <v>870</v>
      </c>
    </row>
    <row r="156" spans="1:4" ht="30" customHeight="1">
      <c r="A156" s="201" t="s">
        <v>158</v>
      </c>
      <c r="B156" s="95" t="s">
        <v>295</v>
      </c>
      <c r="C156" s="95" t="s">
        <v>283</v>
      </c>
      <c r="D156" s="95" t="s">
        <v>296</v>
      </c>
    </row>
    <row r="157" spans="1:4" ht="60">
      <c r="A157" s="201" t="s">
        <v>160</v>
      </c>
      <c r="B157" s="95" t="s">
        <v>297</v>
      </c>
      <c r="C157" s="95" t="s">
        <v>285</v>
      </c>
      <c r="D157" s="95" t="s">
        <v>298</v>
      </c>
    </row>
    <row r="158" spans="1:4">
      <c r="A158" s="4" t="s">
        <v>162</v>
      </c>
      <c r="B158" s="122">
        <v>2025</v>
      </c>
      <c r="C158" s="122">
        <v>2024</v>
      </c>
      <c r="D158" s="122">
        <v>2023</v>
      </c>
    </row>
    <row r="159" spans="1:4">
      <c r="A159" s="87" t="s">
        <v>163</v>
      </c>
      <c r="B159" s="97"/>
      <c r="C159" s="97"/>
      <c r="D159" s="97"/>
    </row>
    <row r="160" spans="1:4">
      <c r="A160" s="160" t="s">
        <v>164</v>
      </c>
      <c r="B160" s="248"/>
      <c r="C160" s="248"/>
      <c r="D160" s="249"/>
    </row>
    <row r="161" spans="1:4" ht="24.6">
      <c r="A161" s="146" t="s">
        <v>165</v>
      </c>
      <c r="B161" s="147">
        <v>39.340000000000003</v>
      </c>
      <c r="C161" s="147">
        <v>31.12</v>
      </c>
      <c r="D161" s="147">
        <v>61.03</v>
      </c>
    </row>
    <row r="162" spans="1:4" ht="24.6">
      <c r="A162" s="146" t="s">
        <v>299</v>
      </c>
      <c r="B162" s="250">
        <v>0</v>
      </c>
      <c r="C162" s="251">
        <v>6.0000000000000001E-3</v>
      </c>
      <c r="D162" s="251">
        <v>1.75E-3</v>
      </c>
    </row>
    <row r="163" spans="1:4" ht="24" customHeight="1">
      <c r="A163" s="434" t="s">
        <v>167</v>
      </c>
      <c r="B163" s="434"/>
      <c r="C163" s="434"/>
      <c r="D163" s="434"/>
    </row>
    <row r="164" spans="1:4">
      <c r="A164" s="65" t="s">
        <v>168</v>
      </c>
      <c r="B164" s="100"/>
      <c r="C164" s="100"/>
      <c r="D164" s="101"/>
    </row>
    <row r="165" spans="1:4">
      <c r="A165" s="99" t="s">
        <v>169</v>
      </c>
      <c r="B165" s="72">
        <v>511</v>
      </c>
      <c r="C165" s="72">
        <f>C168+C167+C166</f>
        <v>511</v>
      </c>
      <c r="D165" s="72">
        <f>D168+D167+D166</f>
        <v>485.45</v>
      </c>
    </row>
    <row r="166" spans="1:4">
      <c r="A166" s="99" t="s">
        <v>170</v>
      </c>
      <c r="B166" s="72">
        <v>0</v>
      </c>
      <c r="C166" s="72">
        <v>0</v>
      </c>
      <c r="D166" s="72">
        <v>0</v>
      </c>
    </row>
    <row r="167" spans="1:4">
      <c r="A167" s="99" t="s">
        <v>171</v>
      </c>
      <c r="B167" s="72">
        <v>511</v>
      </c>
      <c r="C167" s="72">
        <v>511</v>
      </c>
      <c r="D167" s="72">
        <v>485.45</v>
      </c>
    </row>
    <row r="168" spans="1:4">
      <c r="A168" s="92" t="s">
        <v>172</v>
      </c>
      <c r="B168" s="72">
        <v>0</v>
      </c>
      <c r="C168" s="102">
        <v>0</v>
      </c>
      <c r="D168" s="102">
        <v>0</v>
      </c>
    </row>
    <row r="169" spans="1:4" ht="36" customHeight="1">
      <c r="A169" s="427" t="s">
        <v>173</v>
      </c>
      <c r="B169" s="427"/>
      <c r="C169" s="427"/>
      <c r="D169" s="427"/>
    </row>
    <row r="170" spans="1:4">
      <c r="A170" s="88" t="s">
        <v>174</v>
      </c>
      <c r="B170" s="89"/>
      <c r="C170" s="89"/>
      <c r="D170" s="89"/>
    </row>
    <row r="171" spans="1:4" ht="14.45" customHeight="1">
      <c r="A171" s="99" t="s">
        <v>175</v>
      </c>
      <c r="B171" s="93">
        <v>0</v>
      </c>
      <c r="C171" s="93">
        <v>0</v>
      </c>
      <c r="D171" s="93">
        <v>5</v>
      </c>
    </row>
    <row r="172" spans="1:4">
      <c r="A172" s="99" t="s">
        <v>176</v>
      </c>
      <c r="B172" s="93">
        <v>0</v>
      </c>
      <c r="C172" s="93">
        <v>0</v>
      </c>
      <c r="D172" s="93">
        <v>0</v>
      </c>
    </row>
    <row r="173" spans="1:4" ht="36" customHeight="1">
      <c r="A173" s="418" t="s">
        <v>177</v>
      </c>
      <c r="B173" s="418"/>
      <c r="C173" s="418"/>
      <c r="D173" s="418"/>
    </row>
    <row r="174" spans="1:4">
      <c r="A174" s="87" t="s">
        <v>178</v>
      </c>
      <c r="B174" s="52"/>
      <c r="C174" s="52"/>
      <c r="D174" s="52"/>
    </row>
    <row r="175" spans="1:4">
      <c r="A175" s="160" t="s">
        <v>179</v>
      </c>
      <c r="B175" s="252"/>
      <c r="C175" s="248"/>
      <c r="D175" s="249"/>
    </row>
    <row r="176" spans="1:4">
      <c r="A176" s="253" t="s">
        <v>180</v>
      </c>
      <c r="B176" s="254"/>
      <c r="C176" s="255"/>
      <c r="D176" s="256"/>
    </row>
    <row r="177" spans="1:4">
      <c r="A177" s="146" t="s">
        <v>181</v>
      </c>
      <c r="B177" s="147">
        <v>379.03</v>
      </c>
      <c r="C177" s="147">
        <v>328.25</v>
      </c>
      <c r="D177" s="147">
        <v>275.45</v>
      </c>
    </row>
    <row r="178" spans="1:4">
      <c r="A178" s="146" t="s">
        <v>182</v>
      </c>
      <c r="B178" s="257">
        <v>0</v>
      </c>
      <c r="C178" s="147">
        <v>0</v>
      </c>
      <c r="D178" s="147">
        <v>0</v>
      </c>
    </row>
    <row r="179" spans="1:4">
      <c r="A179" s="146" t="s">
        <v>183</v>
      </c>
      <c r="B179" s="257">
        <v>0</v>
      </c>
      <c r="C179" s="147">
        <v>0</v>
      </c>
      <c r="D179" s="147">
        <v>0</v>
      </c>
    </row>
    <row r="180" spans="1:4">
      <c r="A180" s="146" t="s">
        <v>184</v>
      </c>
      <c r="B180" s="257">
        <v>0</v>
      </c>
      <c r="C180" s="147">
        <v>0</v>
      </c>
      <c r="D180" s="147">
        <v>0</v>
      </c>
    </row>
    <row r="181" spans="1:4">
      <c r="A181" s="88" t="s">
        <v>185</v>
      </c>
      <c r="C181" s="258"/>
      <c r="D181" s="259"/>
    </row>
    <row r="182" spans="1:4">
      <c r="A182" s="182" t="s">
        <v>186</v>
      </c>
      <c r="B182" s="9">
        <v>0</v>
      </c>
      <c r="C182" s="9">
        <v>0</v>
      </c>
      <c r="D182" s="9">
        <v>0</v>
      </c>
    </row>
    <row r="183" spans="1:4">
      <c r="A183" s="146" t="s">
        <v>187</v>
      </c>
      <c r="B183" s="147">
        <v>344.92</v>
      </c>
      <c r="C183" s="147">
        <v>391.46</v>
      </c>
      <c r="D183" s="147">
        <v>120.21</v>
      </c>
    </row>
    <row r="184" spans="1:4">
      <c r="A184" s="146" t="s">
        <v>188</v>
      </c>
      <c r="B184" s="192">
        <v>1923840</v>
      </c>
      <c r="C184" s="192">
        <f>C12*3600</f>
        <v>1929060</v>
      </c>
      <c r="D184" s="192">
        <v>1923804</v>
      </c>
    </row>
    <row r="185" spans="1:4">
      <c r="A185" s="146" t="s">
        <v>189</v>
      </c>
      <c r="B185" s="260">
        <f>(B177+B178+B179+B182+B183)/B184</f>
        <v>3.7630468230206255E-4</v>
      </c>
      <c r="C185" s="261">
        <f>SUM(C177:C183)/C184</f>
        <v>3.7308844722299983E-4</v>
      </c>
      <c r="D185" s="261">
        <v>1.3999999999999999E-4</v>
      </c>
    </row>
    <row r="186" spans="1:4">
      <c r="A186" s="88" t="s">
        <v>300</v>
      </c>
      <c r="B186" s="259"/>
      <c r="C186" s="259"/>
      <c r="D186" s="259"/>
    </row>
    <row r="187" spans="1:4">
      <c r="A187" s="92" t="s">
        <v>191</v>
      </c>
      <c r="B187" s="93">
        <v>0</v>
      </c>
      <c r="C187" s="93">
        <v>0</v>
      </c>
      <c r="D187" s="93">
        <v>0</v>
      </c>
    </row>
    <row r="188" spans="1:4">
      <c r="A188" s="92" t="s">
        <v>192</v>
      </c>
      <c r="B188" s="93">
        <v>12872</v>
      </c>
      <c r="C188" s="93">
        <v>12872</v>
      </c>
      <c r="D188" s="93">
        <v>12871.92</v>
      </c>
    </row>
    <row r="189" spans="1:4">
      <c r="A189" s="92" t="s">
        <v>193</v>
      </c>
      <c r="B189" s="93">
        <v>0</v>
      </c>
      <c r="C189" s="93">
        <v>0</v>
      </c>
      <c r="D189" s="93">
        <v>0</v>
      </c>
    </row>
    <row r="190" spans="1:4">
      <c r="A190" s="92" t="s">
        <v>194</v>
      </c>
      <c r="B190" s="93">
        <v>13.2</v>
      </c>
      <c r="C190" s="93">
        <v>13.2</v>
      </c>
      <c r="D190" s="93">
        <v>0</v>
      </c>
    </row>
    <row r="191" spans="1:4">
      <c r="A191" s="88" t="s">
        <v>301</v>
      </c>
      <c r="B191" s="113">
        <f>SUM(B187:B190)</f>
        <v>12885.2</v>
      </c>
      <c r="C191" s="113">
        <f>SUM(C187:C190)</f>
        <v>12885.2</v>
      </c>
      <c r="D191" s="113">
        <f>SUM(D187:D190)</f>
        <v>12871.92</v>
      </c>
    </row>
    <row r="192" spans="1:4">
      <c r="A192" s="114" t="s">
        <v>196</v>
      </c>
      <c r="B192" s="79">
        <v>0.6</v>
      </c>
      <c r="C192" s="116">
        <v>0.66</v>
      </c>
      <c r="D192" s="116">
        <v>677.47</v>
      </c>
    </row>
    <row r="193" spans="1:4" ht="36" customHeight="1">
      <c r="A193" s="437" t="s">
        <v>173</v>
      </c>
      <c r="B193" s="438"/>
      <c r="C193" s="438"/>
      <c r="D193" s="438"/>
    </row>
    <row r="194" spans="1:4">
      <c r="A194" s="117" t="s">
        <v>198</v>
      </c>
      <c r="B194" s="118"/>
      <c r="C194" s="118"/>
      <c r="D194" s="118"/>
    </row>
    <row r="195" spans="1:4">
      <c r="A195" s="88" t="s">
        <v>199</v>
      </c>
      <c r="B195" s="89"/>
      <c r="C195" s="89"/>
      <c r="D195" s="90"/>
    </row>
    <row r="196" spans="1:4">
      <c r="A196" s="182" t="s">
        <v>200</v>
      </c>
      <c r="B196" s="183">
        <v>0</v>
      </c>
      <c r="C196" s="183">
        <v>0</v>
      </c>
      <c r="D196" s="183">
        <v>18</v>
      </c>
    </row>
    <row r="197" spans="1:4" ht="24.6">
      <c r="A197" s="146" t="s">
        <v>201</v>
      </c>
      <c r="B197" s="192">
        <v>0</v>
      </c>
      <c r="C197" s="192">
        <v>0</v>
      </c>
      <c r="D197" s="192">
        <v>0</v>
      </c>
    </row>
    <row r="198" spans="1:4">
      <c r="A198" s="146" t="s">
        <v>202</v>
      </c>
      <c r="B198" s="192">
        <v>0</v>
      </c>
      <c r="C198" s="192">
        <v>0</v>
      </c>
      <c r="D198" s="192">
        <v>16</v>
      </c>
    </row>
    <row r="199" spans="1:4">
      <c r="A199" s="253" t="s">
        <v>203</v>
      </c>
      <c r="B199" s="46"/>
      <c r="C199" s="255"/>
      <c r="D199" s="255"/>
    </row>
    <row r="200" spans="1:4">
      <c r="A200" s="146" t="s">
        <v>204</v>
      </c>
      <c r="B200" s="192">
        <v>0</v>
      </c>
      <c r="C200" s="192">
        <v>0</v>
      </c>
      <c r="D200" s="192">
        <v>0</v>
      </c>
    </row>
    <row r="201" spans="1:4">
      <c r="A201" s="146" t="s">
        <v>205</v>
      </c>
      <c r="B201" s="192">
        <v>0</v>
      </c>
      <c r="C201" s="192">
        <v>0</v>
      </c>
      <c r="D201" s="192">
        <v>0</v>
      </c>
    </row>
    <row r="202" spans="1:4">
      <c r="A202" s="146" t="s">
        <v>206</v>
      </c>
      <c r="B202" s="192">
        <v>0</v>
      </c>
      <c r="C202" s="192">
        <v>0</v>
      </c>
      <c r="D202" s="192">
        <v>0</v>
      </c>
    </row>
    <row r="203" spans="1:4">
      <c r="A203" s="146" t="s">
        <v>207</v>
      </c>
      <c r="B203" s="192">
        <v>0</v>
      </c>
      <c r="C203" s="192">
        <v>0</v>
      </c>
      <c r="D203" s="192">
        <v>0</v>
      </c>
    </row>
    <row r="204" spans="1:4">
      <c r="A204" s="146" t="s">
        <v>205</v>
      </c>
      <c r="B204" s="192">
        <v>0</v>
      </c>
      <c r="C204" s="192">
        <v>0</v>
      </c>
      <c r="D204" s="192">
        <v>0</v>
      </c>
    </row>
    <row r="205" spans="1:4">
      <c r="A205" s="146" t="s">
        <v>208</v>
      </c>
      <c r="B205" s="192">
        <v>9.99</v>
      </c>
      <c r="C205" s="192">
        <v>0</v>
      </c>
      <c r="D205" s="192">
        <v>0</v>
      </c>
    </row>
    <row r="206" spans="1:4">
      <c r="A206" s="4" t="s">
        <v>209</v>
      </c>
      <c r="B206" s="122">
        <v>2025</v>
      </c>
      <c r="C206" s="122" t="s">
        <v>210</v>
      </c>
      <c r="D206" s="122" t="s">
        <v>211</v>
      </c>
    </row>
    <row r="207" spans="1:4">
      <c r="A207" s="92" t="s">
        <v>212</v>
      </c>
      <c r="B207" s="94">
        <v>1252380</v>
      </c>
      <c r="C207" s="94">
        <v>1277340</v>
      </c>
      <c r="D207" s="94">
        <v>1348679</v>
      </c>
    </row>
    <row r="208" spans="1:4" ht="25.5" customHeight="1">
      <c r="A208" s="427" t="s">
        <v>213</v>
      </c>
      <c r="B208" s="427"/>
      <c r="C208" s="427"/>
      <c r="D208" s="427"/>
    </row>
    <row r="209" spans="1:13">
      <c r="A209" s="99" t="s">
        <v>302</v>
      </c>
      <c r="B209" s="67">
        <v>0</v>
      </c>
      <c r="C209" s="67">
        <v>0</v>
      </c>
      <c r="D209" s="67">
        <v>0</v>
      </c>
    </row>
    <row r="210" spans="1:13">
      <c r="A210" s="99" t="s">
        <v>215</v>
      </c>
      <c r="B210" s="68">
        <v>0</v>
      </c>
      <c r="C210" s="68">
        <v>0</v>
      </c>
      <c r="D210" s="68">
        <v>0</v>
      </c>
    </row>
    <row r="211" spans="1:13">
      <c r="A211" s="59" t="s">
        <v>303</v>
      </c>
      <c r="B211" s="67">
        <v>0</v>
      </c>
      <c r="C211" s="67">
        <v>0</v>
      </c>
      <c r="D211" s="67">
        <v>0</v>
      </c>
    </row>
    <row r="212" spans="1:13">
      <c r="A212" s="99" t="s">
        <v>304</v>
      </c>
      <c r="B212" s="67">
        <v>0</v>
      </c>
      <c r="C212" s="67">
        <v>0</v>
      </c>
      <c r="D212" s="67">
        <v>0</v>
      </c>
    </row>
    <row r="213" spans="1:13">
      <c r="A213" s="99" t="s">
        <v>219</v>
      </c>
      <c r="B213" s="67">
        <v>0</v>
      </c>
      <c r="C213" s="67">
        <v>0</v>
      </c>
      <c r="D213" s="67">
        <v>0</v>
      </c>
    </row>
    <row r="214" spans="1:13" ht="24.6">
      <c r="A214" s="99" t="s">
        <v>220</v>
      </c>
      <c r="B214" s="67">
        <v>0</v>
      </c>
      <c r="C214" s="67">
        <v>0</v>
      </c>
      <c r="D214" s="67">
        <v>0</v>
      </c>
    </row>
    <row r="215" spans="1:13" ht="24.6">
      <c r="A215" s="99" t="s">
        <v>221</v>
      </c>
      <c r="B215" s="67">
        <v>0</v>
      </c>
      <c r="C215" s="67">
        <v>0</v>
      </c>
      <c r="D215" s="67">
        <v>0</v>
      </c>
    </row>
    <row r="216" spans="1:13">
      <c r="A216" s="99" t="s">
        <v>222</v>
      </c>
      <c r="B216" s="67">
        <v>0</v>
      </c>
      <c r="C216" s="67">
        <v>0</v>
      </c>
      <c r="D216" s="67">
        <v>0</v>
      </c>
    </row>
    <row r="217" spans="1:13">
      <c r="A217" s="99"/>
      <c r="B217" s="67"/>
      <c r="C217" s="67"/>
      <c r="D217" s="67"/>
    </row>
    <row r="218" spans="1:13">
      <c r="A218" s="4" t="s">
        <v>223</v>
      </c>
      <c r="B218" s="417">
        <v>2025</v>
      </c>
      <c r="C218" s="417"/>
      <c r="D218" s="417"/>
      <c r="E218" s="417"/>
      <c r="F218" s="410">
        <v>2024</v>
      </c>
      <c r="G218" s="410"/>
      <c r="H218" s="410"/>
      <c r="I218" s="410"/>
      <c r="J218" s="410">
        <v>2023</v>
      </c>
      <c r="K218" s="410"/>
      <c r="L218" s="410"/>
      <c r="M218" s="410"/>
    </row>
    <row r="219" spans="1:13" ht="24">
      <c r="A219" s="262" t="s">
        <v>305</v>
      </c>
      <c r="B219" s="124" t="s">
        <v>226</v>
      </c>
      <c r="C219" s="124" t="s">
        <v>227</v>
      </c>
      <c r="D219" s="124" t="s">
        <v>228</v>
      </c>
      <c r="E219" s="125" t="s">
        <v>229</v>
      </c>
      <c r="F219" s="204" t="s">
        <v>226</v>
      </c>
      <c r="G219" s="204" t="s">
        <v>227</v>
      </c>
      <c r="H219" s="204" t="s">
        <v>228</v>
      </c>
      <c r="I219" s="205" t="s">
        <v>229</v>
      </c>
      <c r="J219" s="204" t="s">
        <v>226</v>
      </c>
      <c r="K219" s="204" t="s">
        <v>227</v>
      </c>
      <c r="L219" s="204" t="s">
        <v>228</v>
      </c>
      <c r="M219" s="205" t="s">
        <v>229</v>
      </c>
    </row>
    <row r="220" spans="1:13">
      <c r="A220" s="128" t="s">
        <v>230</v>
      </c>
      <c r="B220" s="129">
        <v>0</v>
      </c>
      <c r="C220" s="129">
        <v>2</v>
      </c>
      <c r="D220" s="129">
        <v>0</v>
      </c>
      <c r="E220" s="130">
        <f>SUM(B220:D220)</f>
        <v>2</v>
      </c>
      <c r="F220" s="129">
        <v>0</v>
      </c>
      <c r="G220" s="129">
        <v>2</v>
      </c>
      <c r="H220" s="129">
        <v>0</v>
      </c>
      <c r="I220" s="130">
        <f>SUM(F220:H220)</f>
        <v>2</v>
      </c>
      <c r="J220" s="129">
        <v>0</v>
      </c>
      <c r="K220" s="129">
        <v>0</v>
      </c>
      <c r="L220" s="129">
        <v>0</v>
      </c>
      <c r="M220" s="130">
        <f>SUM(J220:L220)</f>
        <v>0</v>
      </c>
    </row>
    <row r="221" spans="1:13">
      <c r="A221" s="99" t="s">
        <v>231</v>
      </c>
      <c r="B221" s="67">
        <v>0</v>
      </c>
      <c r="C221" s="67">
        <v>0</v>
      </c>
      <c r="D221" s="67">
        <v>0</v>
      </c>
      <c r="E221" s="130">
        <f t="shared" ref="E221:E232" si="0">SUM(B221:D221)</f>
        <v>0</v>
      </c>
      <c r="F221" s="67">
        <v>0</v>
      </c>
      <c r="G221" s="67">
        <v>0</v>
      </c>
      <c r="H221" s="67">
        <v>0</v>
      </c>
      <c r="I221" s="206">
        <f t="shared" ref="I221:I232" si="1">SUM(F221:H221)</f>
        <v>0</v>
      </c>
      <c r="J221" s="67">
        <v>0</v>
      </c>
      <c r="K221" s="67">
        <v>0</v>
      </c>
      <c r="L221" s="67">
        <v>0</v>
      </c>
      <c r="M221" s="206">
        <f t="shared" ref="M221" si="2">SUM(J221:L221)</f>
        <v>0</v>
      </c>
    </row>
    <row r="222" spans="1:13">
      <c r="A222" s="65" t="s">
        <v>232</v>
      </c>
      <c r="B222" s="143">
        <f t="shared" ref="B222:D222" si="3">SUM(B223:B226)</f>
        <v>0</v>
      </c>
      <c r="C222" s="143">
        <f t="shared" si="3"/>
        <v>0</v>
      </c>
      <c r="D222" s="143">
        <f t="shared" si="3"/>
        <v>0</v>
      </c>
      <c r="E222" s="384">
        <f>SUM(B222:D222)</f>
        <v>0</v>
      </c>
      <c r="F222" s="143">
        <f>SUM(F223:F226)</f>
        <v>0</v>
      </c>
      <c r="G222" s="143">
        <f>SUM(G223:G226)</f>
        <v>0</v>
      </c>
      <c r="H222" s="143">
        <f>SUM(H223:H226)</f>
        <v>0</v>
      </c>
      <c r="I222" s="207">
        <f t="shared" si="1"/>
        <v>0</v>
      </c>
      <c r="J222" s="143">
        <f>SUM(J223:J226)</f>
        <v>0</v>
      </c>
      <c r="K222" s="143">
        <f>SUM(K223:K226)</f>
        <v>0</v>
      </c>
      <c r="L222" s="143">
        <f>SUM(L223:L226)</f>
        <v>0</v>
      </c>
      <c r="M222" s="207">
        <f>SUM(J222:L222)</f>
        <v>0</v>
      </c>
    </row>
    <row r="223" spans="1:13">
      <c r="A223" s="99" t="s">
        <v>233</v>
      </c>
      <c r="B223" s="72">
        <v>0</v>
      </c>
      <c r="C223" s="72">
        <v>0</v>
      </c>
      <c r="D223" s="72">
        <v>0</v>
      </c>
      <c r="E223" s="135">
        <f t="shared" si="0"/>
        <v>0</v>
      </c>
      <c r="F223" s="72">
        <v>0</v>
      </c>
      <c r="G223" s="72">
        <v>0</v>
      </c>
      <c r="H223" s="72">
        <v>0</v>
      </c>
      <c r="I223" s="208">
        <f t="shared" si="1"/>
        <v>0</v>
      </c>
      <c r="J223" s="72">
        <v>0</v>
      </c>
      <c r="K223" s="72">
        <v>0</v>
      </c>
      <c r="L223" s="72">
        <v>0</v>
      </c>
      <c r="M223" s="208">
        <f t="shared" ref="M223:M232" si="4">SUM(J223:L223)</f>
        <v>0</v>
      </c>
    </row>
    <row r="224" spans="1:13">
      <c r="A224" s="99" t="s">
        <v>234</v>
      </c>
      <c r="B224" s="72">
        <v>0</v>
      </c>
      <c r="C224" s="72">
        <v>0</v>
      </c>
      <c r="D224" s="72">
        <v>0</v>
      </c>
      <c r="E224" s="135">
        <f t="shared" si="0"/>
        <v>0</v>
      </c>
      <c r="F224" s="72">
        <v>0</v>
      </c>
      <c r="G224" s="72">
        <v>0</v>
      </c>
      <c r="H224" s="72">
        <v>0</v>
      </c>
      <c r="I224" s="208">
        <f t="shared" si="1"/>
        <v>0</v>
      </c>
      <c r="J224" s="72">
        <v>0</v>
      </c>
      <c r="K224" s="72">
        <v>0</v>
      </c>
      <c r="L224" s="72">
        <v>0</v>
      </c>
      <c r="M224" s="208">
        <f t="shared" si="4"/>
        <v>0</v>
      </c>
    </row>
    <row r="225" spans="1:13" ht="15" customHeight="1">
      <c r="A225" s="59" t="s">
        <v>235</v>
      </c>
      <c r="B225" s="108">
        <v>0</v>
      </c>
      <c r="C225" s="108">
        <v>0</v>
      </c>
      <c r="D225" s="108">
        <v>0</v>
      </c>
      <c r="E225" s="135">
        <f t="shared" si="0"/>
        <v>0</v>
      </c>
      <c r="F225" s="108">
        <v>0</v>
      </c>
      <c r="G225" s="108">
        <v>0</v>
      </c>
      <c r="H225" s="108">
        <v>0</v>
      </c>
      <c r="I225" s="209">
        <f t="shared" si="1"/>
        <v>0</v>
      </c>
      <c r="J225" s="108">
        <v>0</v>
      </c>
      <c r="K225" s="108">
        <v>0</v>
      </c>
      <c r="L225" s="108">
        <v>0</v>
      </c>
      <c r="M225" s="209">
        <f t="shared" si="4"/>
        <v>0</v>
      </c>
    </row>
    <row r="226" spans="1:13">
      <c r="A226" s="99" t="s">
        <v>236</v>
      </c>
      <c r="B226" s="72">
        <v>0</v>
      </c>
      <c r="C226" s="72">
        <v>0</v>
      </c>
      <c r="D226" s="72">
        <v>0</v>
      </c>
      <c r="E226" s="135">
        <f t="shared" si="0"/>
        <v>0</v>
      </c>
      <c r="F226" s="72">
        <v>0</v>
      </c>
      <c r="G226" s="72">
        <v>0</v>
      </c>
      <c r="H226" s="72">
        <v>0</v>
      </c>
      <c r="I226" s="208">
        <f t="shared" si="1"/>
        <v>0</v>
      </c>
      <c r="J226" s="72">
        <v>0</v>
      </c>
      <c r="K226" s="72">
        <v>0</v>
      </c>
      <c r="L226" s="72">
        <v>0</v>
      </c>
      <c r="M226" s="208">
        <f t="shared" si="4"/>
        <v>0</v>
      </c>
    </row>
    <row r="227" spans="1:13">
      <c r="A227" s="65" t="s">
        <v>237</v>
      </c>
      <c r="B227" s="143">
        <f t="shared" ref="B227:D227" si="5">SUM(B228:B232)</f>
        <v>0</v>
      </c>
      <c r="C227" s="143">
        <f t="shared" si="5"/>
        <v>0</v>
      </c>
      <c r="D227" s="143">
        <f t="shared" si="5"/>
        <v>0</v>
      </c>
      <c r="E227" s="384">
        <f>SUM(B227:D227)</f>
        <v>0</v>
      </c>
      <c r="F227" s="143">
        <f>SUM(F228:F232)</f>
        <v>0</v>
      </c>
      <c r="G227" s="143">
        <f>SUM(G228:G232)</f>
        <v>0</v>
      </c>
      <c r="H227" s="143">
        <f>SUM(H228:H232)</f>
        <v>0</v>
      </c>
      <c r="I227" s="208">
        <f t="shared" si="1"/>
        <v>0</v>
      </c>
      <c r="J227" s="143">
        <f>SUM(J228:J232)</f>
        <v>0</v>
      </c>
      <c r="K227" s="143">
        <f>SUM(K228:K232)</f>
        <v>0</v>
      </c>
      <c r="L227" s="143">
        <f>SUM(L228:L232)</f>
        <v>0</v>
      </c>
      <c r="M227" s="208">
        <f t="shared" si="4"/>
        <v>0</v>
      </c>
    </row>
    <row r="228" spans="1:13">
      <c r="A228" s="99" t="s">
        <v>238</v>
      </c>
      <c r="B228" s="72">
        <v>0</v>
      </c>
      <c r="C228" s="72">
        <v>0</v>
      </c>
      <c r="D228" s="72">
        <v>0</v>
      </c>
      <c r="E228" s="135">
        <f t="shared" si="0"/>
        <v>0</v>
      </c>
      <c r="F228" s="72">
        <v>0</v>
      </c>
      <c r="G228" s="72">
        <v>0</v>
      </c>
      <c r="H228" s="72">
        <v>0</v>
      </c>
      <c r="I228" s="208">
        <f t="shared" si="1"/>
        <v>0</v>
      </c>
      <c r="J228" s="72">
        <v>0</v>
      </c>
      <c r="K228" s="72">
        <v>0</v>
      </c>
      <c r="L228" s="72">
        <v>0</v>
      </c>
      <c r="M228" s="208">
        <f t="shared" si="4"/>
        <v>0</v>
      </c>
    </row>
    <row r="229" spans="1:13">
      <c r="A229" s="99" t="s">
        <v>239</v>
      </c>
      <c r="B229" s="72">
        <v>0</v>
      </c>
      <c r="C229" s="72">
        <v>0</v>
      </c>
      <c r="D229" s="72">
        <v>0</v>
      </c>
      <c r="E229" s="135">
        <f t="shared" si="0"/>
        <v>0</v>
      </c>
      <c r="F229" s="72">
        <v>0</v>
      </c>
      <c r="G229" s="72">
        <v>0</v>
      </c>
      <c r="H229" s="72">
        <v>0</v>
      </c>
      <c r="I229" s="208">
        <f t="shared" si="1"/>
        <v>0</v>
      </c>
      <c r="J229" s="72">
        <v>0</v>
      </c>
      <c r="K229" s="72">
        <v>0</v>
      </c>
      <c r="L229" s="72">
        <v>0</v>
      </c>
      <c r="M229" s="208">
        <f t="shared" si="4"/>
        <v>0</v>
      </c>
    </row>
    <row r="230" spans="1:13">
      <c r="A230" s="59" t="s">
        <v>240</v>
      </c>
      <c r="B230" s="108">
        <v>0</v>
      </c>
      <c r="C230" s="108">
        <v>0</v>
      </c>
      <c r="D230" s="108">
        <v>0</v>
      </c>
      <c r="E230" s="135">
        <f t="shared" si="0"/>
        <v>0</v>
      </c>
      <c r="F230" s="108">
        <v>0</v>
      </c>
      <c r="G230" s="108">
        <v>0</v>
      </c>
      <c r="H230" s="108">
        <v>0</v>
      </c>
      <c r="I230" s="209">
        <f t="shared" si="1"/>
        <v>0</v>
      </c>
      <c r="J230" s="108">
        <v>0</v>
      </c>
      <c r="K230" s="108">
        <v>0</v>
      </c>
      <c r="L230" s="108">
        <v>0</v>
      </c>
      <c r="M230" s="209">
        <f t="shared" si="4"/>
        <v>0</v>
      </c>
    </row>
    <row r="231" spans="1:13">
      <c r="A231" s="99" t="s">
        <v>241</v>
      </c>
      <c r="B231" s="72">
        <v>0</v>
      </c>
      <c r="C231" s="72">
        <v>0</v>
      </c>
      <c r="D231" s="72">
        <v>0</v>
      </c>
      <c r="E231" s="135">
        <f t="shared" si="0"/>
        <v>0</v>
      </c>
      <c r="F231" s="72">
        <v>0</v>
      </c>
      <c r="G231" s="72">
        <v>0</v>
      </c>
      <c r="H231" s="72">
        <v>0</v>
      </c>
      <c r="I231" s="208">
        <f t="shared" si="1"/>
        <v>0</v>
      </c>
      <c r="J231" s="72">
        <v>0</v>
      </c>
      <c r="K231" s="72">
        <v>0</v>
      </c>
      <c r="L231" s="72">
        <v>0</v>
      </c>
      <c r="M231" s="208">
        <f t="shared" si="4"/>
        <v>0</v>
      </c>
    </row>
    <row r="232" spans="1:13">
      <c r="A232" s="99" t="s">
        <v>236</v>
      </c>
      <c r="B232" s="72">
        <v>0</v>
      </c>
      <c r="C232" s="72">
        <v>0</v>
      </c>
      <c r="D232" s="72">
        <v>0</v>
      </c>
      <c r="E232" s="135">
        <f t="shared" si="0"/>
        <v>0</v>
      </c>
      <c r="F232" s="72">
        <v>0</v>
      </c>
      <c r="G232" s="72">
        <v>0</v>
      </c>
      <c r="H232" s="72">
        <v>0</v>
      </c>
      <c r="I232" s="208">
        <f t="shared" si="1"/>
        <v>0</v>
      </c>
      <c r="J232" s="72">
        <v>0</v>
      </c>
      <c r="K232" s="72">
        <v>0</v>
      </c>
      <c r="L232" s="72">
        <v>0</v>
      </c>
      <c r="M232" s="208">
        <f t="shared" si="4"/>
        <v>0</v>
      </c>
    </row>
    <row r="233" spans="1:13">
      <c r="A233" s="65" t="s">
        <v>242</v>
      </c>
      <c r="B233" s="84"/>
      <c r="C233" s="84"/>
      <c r="D233" s="84"/>
      <c r="E233" s="384">
        <f>SUM(E227,E222)</f>
        <v>0</v>
      </c>
      <c r="F233" s="143"/>
      <c r="G233" s="143"/>
      <c r="H233" s="143"/>
      <c r="I233" s="207">
        <f>I227+I222</f>
        <v>0</v>
      </c>
      <c r="J233" s="143"/>
      <c r="K233" s="143"/>
      <c r="L233" s="143"/>
      <c r="M233" s="207">
        <f>M227+M222</f>
        <v>0</v>
      </c>
    </row>
    <row r="234" spans="1:13">
      <c r="A234" s="137" t="s">
        <v>306</v>
      </c>
      <c r="B234" s="138"/>
      <c r="C234" s="138"/>
      <c r="D234" s="138"/>
      <c r="E234" s="139"/>
      <c r="F234" s="139"/>
      <c r="G234" s="139"/>
      <c r="H234" s="139"/>
      <c r="I234" s="139"/>
      <c r="J234" s="139"/>
      <c r="K234" s="139"/>
      <c r="L234" s="139"/>
      <c r="M234" s="139"/>
    </row>
    <row r="235" spans="1:13">
      <c r="A235" s="264"/>
      <c r="B235" s="265"/>
      <c r="C235" s="265"/>
      <c r="D235" s="265"/>
    </row>
    <row r="236" spans="1:13" ht="24">
      <c r="A236" s="4" t="s">
        <v>244</v>
      </c>
      <c r="B236" s="122" t="s">
        <v>307</v>
      </c>
      <c r="C236" s="122" t="s">
        <v>246</v>
      </c>
      <c r="D236" s="122" t="s">
        <v>308</v>
      </c>
      <c r="E236" s="122" t="s">
        <v>248</v>
      </c>
      <c r="F236" s="122" t="s">
        <v>249</v>
      </c>
      <c r="G236" s="122" t="s">
        <v>250</v>
      </c>
    </row>
    <row r="237" spans="1:13" ht="24.6">
      <c r="A237" s="123" t="s">
        <v>309</v>
      </c>
      <c r="B237" s="263"/>
      <c r="C237" s="263"/>
      <c r="D237" s="263"/>
      <c r="E237" s="263"/>
      <c r="F237" s="263"/>
      <c r="G237" s="263"/>
    </row>
    <row r="238" spans="1:13">
      <c r="A238" s="92" t="s">
        <v>252</v>
      </c>
      <c r="B238" s="102">
        <v>0</v>
      </c>
      <c r="C238" s="102">
        <v>0</v>
      </c>
      <c r="D238" s="102">
        <v>0</v>
      </c>
      <c r="E238" s="140">
        <f t="shared" ref="E238:E249" si="6">IFERROR(D238/$D$250,0)</f>
        <v>0</v>
      </c>
      <c r="F238" s="102">
        <v>0</v>
      </c>
      <c r="G238" s="140">
        <f t="shared" ref="G238:G248" si="7">F238/$F$250</f>
        <v>0</v>
      </c>
    </row>
    <row r="239" spans="1:13">
      <c r="A239" s="59" t="s">
        <v>253</v>
      </c>
      <c r="B239" s="108">
        <v>0</v>
      </c>
      <c r="C239" s="108">
        <v>0</v>
      </c>
      <c r="D239" s="108">
        <v>0</v>
      </c>
      <c r="E239" s="141">
        <f t="shared" si="6"/>
        <v>0</v>
      </c>
      <c r="F239" s="108">
        <v>0</v>
      </c>
      <c r="G239" s="141">
        <f t="shared" si="7"/>
        <v>0</v>
      </c>
    </row>
    <row r="240" spans="1:13">
      <c r="A240" s="99" t="s">
        <v>254</v>
      </c>
      <c r="B240" s="72">
        <v>0</v>
      </c>
      <c r="C240" s="72">
        <v>0</v>
      </c>
      <c r="D240" s="72">
        <v>0</v>
      </c>
      <c r="E240" s="142">
        <f t="shared" si="6"/>
        <v>0</v>
      </c>
      <c r="F240" s="72">
        <v>0</v>
      </c>
      <c r="G240" s="142">
        <f t="shared" si="7"/>
        <v>0</v>
      </c>
    </row>
    <row r="241" spans="1:7">
      <c r="A241" s="99" t="s">
        <v>255</v>
      </c>
      <c r="B241" s="72">
        <v>0</v>
      </c>
      <c r="C241" s="72">
        <v>0</v>
      </c>
      <c r="D241" s="72">
        <v>0</v>
      </c>
      <c r="E241" s="142">
        <f t="shared" si="6"/>
        <v>0</v>
      </c>
      <c r="F241" s="72">
        <v>0</v>
      </c>
      <c r="G241" s="142">
        <f t="shared" si="7"/>
        <v>0</v>
      </c>
    </row>
    <row r="242" spans="1:7">
      <c r="A242" s="59" t="s">
        <v>256</v>
      </c>
      <c r="B242" s="108">
        <v>0</v>
      </c>
      <c r="C242" s="108">
        <v>0</v>
      </c>
      <c r="D242" s="108">
        <v>0</v>
      </c>
      <c r="E242" s="141">
        <f t="shared" si="6"/>
        <v>0</v>
      </c>
      <c r="F242" s="108">
        <v>0</v>
      </c>
      <c r="G242" s="141">
        <f t="shared" si="7"/>
        <v>0</v>
      </c>
    </row>
    <row r="243" spans="1:7">
      <c r="A243" s="99" t="s">
        <v>257</v>
      </c>
      <c r="B243" s="72">
        <v>0</v>
      </c>
      <c r="C243" s="72">
        <v>0</v>
      </c>
      <c r="D243" s="72">
        <v>0</v>
      </c>
      <c r="E243" s="142">
        <f t="shared" si="6"/>
        <v>0</v>
      </c>
      <c r="F243" s="72">
        <v>0</v>
      </c>
      <c r="G243" s="142">
        <f t="shared" si="7"/>
        <v>0</v>
      </c>
    </row>
    <row r="244" spans="1:7">
      <c r="A244" s="99" t="s">
        <v>258</v>
      </c>
      <c r="B244" s="72">
        <v>0</v>
      </c>
      <c r="C244" s="72">
        <v>0</v>
      </c>
      <c r="D244" s="72">
        <v>0</v>
      </c>
      <c r="E244" s="142">
        <f t="shared" si="6"/>
        <v>0</v>
      </c>
      <c r="F244" s="72">
        <v>0</v>
      </c>
      <c r="G244" s="142">
        <f t="shared" si="7"/>
        <v>0</v>
      </c>
    </row>
    <row r="245" spans="1:7">
      <c r="A245" s="99" t="s">
        <v>259</v>
      </c>
      <c r="B245" s="72">
        <v>0</v>
      </c>
      <c r="C245" s="72">
        <v>0</v>
      </c>
      <c r="D245" s="72">
        <v>0</v>
      </c>
      <c r="E245" s="142">
        <f t="shared" si="6"/>
        <v>0</v>
      </c>
      <c r="F245" s="72">
        <v>0</v>
      </c>
      <c r="G245" s="142">
        <f t="shared" si="7"/>
        <v>0</v>
      </c>
    </row>
    <row r="246" spans="1:7">
      <c r="A246" s="99" t="s">
        <v>260</v>
      </c>
      <c r="B246" s="72">
        <v>0</v>
      </c>
      <c r="C246" s="72">
        <v>0</v>
      </c>
      <c r="D246" s="72">
        <v>0</v>
      </c>
      <c r="E246" s="142">
        <f t="shared" si="6"/>
        <v>0</v>
      </c>
      <c r="F246" s="72">
        <v>0</v>
      </c>
      <c r="G246" s="142">
        <f t="shared" si="7"/>
        <v>0</v>
      </c>
    </row>
    <row r="247" spans="1:7">
      <c r="A247" s="59" t="s">
        <v>261</v>
      </c>
      <c r="B247" s="108">
        <v>0</v>
      </c>
      <c r="C247" s="108">
        <v>0</v>
      </c>
      <c r="D247" s="108">
        <v>0</v>
      </c>
      <c r="E247" s="141">
        <f t="shared" si="6"/>
        <v>0</v>
      </c>
      <c r="F247" s="108">
        <v>0</v>
      </c>
      <c r="G247" s="141">
        <f t="shared" si="7"/>
        <v>0</v>
      </c>
    </row>
    <row r="248" spans="1:7">
      <c r="A248" s="99" t="s">
        <v>262</v>
      </c>
      <c r="B248" s="72">
        <v>0</v>
      </c>
      <c r="C248" s="72">
        <v>0</v>
      </c>
      <c r="D248" s="72">
        <v>0</v>
      </c>
      <c r="E248" s="142">
        <f t="shared" si="6"/>
        <v>0</v>
      </c>
      <c r="F248" s="72">
        <v>0</v>
      </c>
      <c r="G248" s="142">
        <f t="shared" si="7"/>
        <v>0</v>
      </c>
    </row>
    <row r="249" spans="1:7">
      <c r="A249" s="92" t="s">
        <v>263</v>
      </c>
      <c r="B249" s="102">
        <v>0</v>
      </c>
      <c r="C249" s="102">
        <v>0</v>
      </c>
      <c r="D249" s="102">
        <v>0</v>
      </c>
      <c r="E249" s="140">
        <f t="shared" si="6"/>
        <v>0</v>
      </c>
      <c r="F249" s="102">
        <v>5.87</v>
      </c>
      <c r="G249" s="140">
        <v>100</v>
      </c>
    </row>
    <row r="250" spans="1:7">
      <c r="A250" s="65" t="s">
        <v>229</v>
      </c>
      <c r="B250" s="143">
        <f>SUM(B238:B249)</f>
        <v>0</v>
      </c>
      <c r="C250" s="143">
        <f>SUM(C238:C249)</f>
        <v>0</v>
      </c>
      <c r="D250" s="143">
        <f>SUM(D238:D249)</f>
        <v>0</v>
      </c>
      <c r="E250" s="144">
        <f t="shared" ref="E250:F250" si="8">SUM(E238:E249)</f>
        <v>0</v>
      </c>
      <c r="F250" s="143">
        <f t="shared" si="8"/>
        <v>5.87</v>
      </c>
      <c r="G250" s="144">
        <f>SUM(G238:G249)</f>
        <v>100</v>
      </c>
    </row>
    <row r="251" spans="1:7">
      <c r="A251" s="210" t="s">
        <v>310</v>
      </c>
      <c r="B251" s="145"/>
      <c r="C251" s="145"/>
      <c r="D251" s="145"/>
      <c r="E251" s="145"/>
      <c r="F251" s="145"/>
      <c r="G251" s="145"/>
    </row>
  </sheetData>
  <sheetProtection algorithmName="SHA-512" hashValue="SrP5OERhEyvv2JNxiZ8E0u7QUMA7H/M9B+MNm7Q6jeRAeUkVAyWO7mHa5IbsRVHO9Giz+Muvon1PpZJKfvCy+w==" saltValue="j/d8H6l5LHmwWC8OZoWJHg==" spinCount="100000" sheet="1" objects="1" scenarios="1"/>
  <mergeCells count="15">
    <mergeCell ref="A8:D8"/>
    <mergeCell ref="F2:J2"/>
    <mergeCell ref="T2:V2"/>
    <mergeCell ref="F218:I218"/>
    <mergeCell ref="J218:M218"/>
    <mergeCell ref="A10:D10"/>
    <mergeCell ref="A163:D163"/>
    <mergeCell ref="A152:D152"/>
    <mergeCell ref="A6:D6"/>
    <mergeCell ref="A7:D7"/>
    <mergeCell ref="A208:D208"/>
    <mergeCell ref="A193:D193"/>
    <mergeCell ref="A169:D169"/>
    <mergeCell ref="B218:E218"/>
    <mergeCell ref="A173:D17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rowBreaks count="1" manualBreakCount="1">
    <brk id="205" max="3" man="1"/>
  </rowBreaks>
  <colBreaks count="1" manualBreakCount="1">
    <brk id="4" max="1048575" man="1"/>
  </colBreaks>
  <customProperties>
    <customPr name="EpmWorksheetKeyString_GUID" r:id="rId2"/>
  </customProperties>
  <ignoredErrors>
    <ignoredError sqref="B38 C38:D38 B52 C52:D52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5A58-7982-4FB3-941D-ECBFFB82D375}">
  <sheetPr>
    <tabColor theme="9" tint="0.79998168889431442"/>
  </sheetPr>
  <dimension ref="A1:Z252"/>
  <sheetViews>
    <sheetView showGridLines="0" zoomScaleNormal="100" zoomScaleSheetLayoutView="130" workbookViewId="0">
      <pane ySplit="7" topLeftCell="A81" activePane="bottomLeft" state="frozen"/>
      <selection pane="bottomLeft" activeCell="A220" sqref="A220"/>
    </sheetView>
  </sheetViews>
  <sheetFormatPr defaultRowHeight="14.45"/>
  <cols>
    <col min="1" max="1" width="65.5703125" customWidth="1"/>
    <col min="2" max="13" width="13.42578125" customWidth="1"/>
    <col min="14" max="18" width="9" customWidth="1"/>
    <col min="20" max="20" width="54.42578125" customWidth="1"/>
    <col min="21" max="26" width="16.42578125" customWidth="1"/>
  </cols>
  <sheetData>
    <row r="1" spans="1:26"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/>
      <c r="U1" s="2"/>
      <c r="V1" s="2"/>
      <c r="W1" s="2"/>
      <c r="X1" s="2"/>
      <c r="Y1" s="2"/>
      <c r="Z1" s="2"/>
    </row>
    <row r="2" spans="1:26" ht="18.600000000000001">
      <c r="F2" s="409"/>
      <c r="G2" s="409"/>
      <c r="H2" s="409"/>
      <c r="I2" s="409"/>
      <c r="J2" s="409"/>
      <c r="T2" s="407"/>
      <c r="U2" s="407"/>
      <c r="V2" s="407"/>
    </row>
    <row r="6" spans="1:26" ht="23.45">
      <c r="A6" s="423" t="s">
        <v>311</v>
      </c>
      <c r="B6" s="424"/>
      <c r="C6" s="424"/>
      <c r="D6" s="424"/>
    </row>
    <row r="7" spans="1:26" ht="15" customHeight="1">
      <c r="A7" s="435"/>
      <c r="B7" s="436"/>
      <c r="C7" s="436"/>
      <c r="D7" s="436"/>
    </row>
    <row r="8" spans="1:26">
      <c r="A8" s="408" t="s">
        <v>312</v>
      </c>
      <c r="B8" s="408"/>
      <c r="C8" s="408"/>
      <c r="D8" s="408"/>
    </row>
    <row r="9" spans="1:26" ht="14.45" customHeight="1">
      <c r="A9" s="4" t="s">
        <v>9</v>
      </c>
      <c r="B9" s="122">
        <v>2025</v>
      </c>
      <c r="C9" s="122">
        <v>2024</v>
      </c>
      <c r="D9" s="122">
        <v>2023</v>
      </c>
    </row>
    <row r="10" spans="1:26">
      <c r="A10" s="422" t="s">
        <v>10</v>
      </c>
      <c r="B10" s="422"/>
      <c r="C10" s="422"/>
      <c r="D10" s="422"/>
    </row>
    <row r="11" spans="1:26">
      <c r="A11" s="5" t="s">
        <v>11</v>
      </c>
      <c r="B11" s="8">
        <v>744.91</v>
      </c>
      <c r="C11" s="8">
        <v>1103.0899999999999</v>
      </c>
      <c r="D11" s="8">
        <v>983.5</v>
      </c>
    </row>
    <row r="12" spans="1:26">
      <c r="A12" s="146" t="s">
        <v>14</v>
      </c>
      <c r="B12" s="147">
        <v>615.89</v>
      </c>
      <c r="C12" s="147">
        <v>647.77</v>
      </c>
      <c r="D12" s="147">
        <v>590.9</v>
      </c>
    </row>
    <row r="13" spans="1:26">
      <c r="A13" s="146" t="s">
        <v>15</v>
      </c>
      <c r="B13" s="147">
        <v>191.9</v>
      </c>
      <c r="C13" s="147">
        <v>191.9</v>
      </c>
      <c r="D13" s="147">
        <v>191.9</v>
      </c>
    </row>
    <row r="14" spans="1:26">
      <c r="A14" s="11" t="s">
        <v>16</v>
      </c>
      <c r="B14" s="122">
        <v>2025</v>
      </c>
      <c r="C14" s="122">
        <v>2024</v>
      </c>
      <c r="D14" s="122">
        <v>2023</v>
      </c>
    </row>
    <row r="15" spans="1:26">
      <c r="A15" s="12" t="s">
        <v>17</v>
      </c>
      <c r="B15" s="19">
        <v>171997</v>
      </c>
      <c r="C15" s="19">
        <v>165708</v>
      </c>
      <c r="D15" s="19">
        <v>142992</v>
      </c>
    </row>
    <row r="16" spans="1:26" ht="14.85" customHeight="1">
      <c r="A16" s="146" t="s">
        <v>18</v>
      </c>
      <c r="B16" s="30">
        <v>171715</v>
      </c>
      <c r="C16" s="30">
        <v>165578</v>
      </c>
      <c r="D16" s="30">
        <v>142829</v>
      </c>
    </row>
    <row r="17" spans="1:4">
      <c r="A17" s="146" t="s">
        <v>19</v>
      </c>
      <c r="B17" s="20">
        <v>0</v>
      </c>
      <c r="C17" s="20">
        <v>0</v>
      </c>
      <c r="D17" s="20">
        <v>0</v>
      </c>
    </row>
    <row r="18" spans="1:4">
      <c r="A18" s="146" t="s">
        <v>20</v>
      </c>
      <c r="B18" s="148">
        <v>0</v>
      </c>
      <c r="C18" s="148">
        <v>0</v>
      </c>
      <c r="D18" s="148">
        <v>0</v>
      </c>
    </row>
    <row r="19" spans="1:4">
      <c r="A19" s="146" t="s">
        <v>21</v>
      </c>
      <c r="B19" s="17">
        <v>282</v>
      </c>
      <c r="C19" s="17">
        <v>130</v>
      </c>
      <c r="D19" s="17">
        <v>163</v>
      </c>
    </row>
    <row r="20" spans="1:4">
      <c r="A20" s="146" t="s">
        <v>22</v>
      </c>
      <c r="B20" s="18">
        <v>0</v>
      </c>
      <c r="C20" s="18">
        <v>0</v>
      </c>
      <c r="D20" s="18">
        <v>0</v>
      </c>
    </row>
    <row r="21" spans="1:4">
      <c r="A21" s="12" t="s">
        <v>23</v>
      </c>
      <c r="B21" s="149">
        <v>-51076</v>
      </c>
      <c r="C21" s="149">
        <v>-42120</v>
      </c>
      <c r="D21" s="149">
        <v>-51431</v>
      </c>
    </row>
    <row r="22" spans="1:4">
      <c r="A22" s="146" t="s">
        <v>24</v>
      </c>
      <c r="B22" s="18">
        <v>-35666</v>
      </c>
      <c r="C22" s="18">
        <v>-28901</v>
      </c>
      <c r="D22" s="18">
        <v>-15896</v>
      </c>
    </row>
    <row r="23" spans="1:4" ht="14.45" customHeight="1">
      <c r="A23" s="146" t="s">
        <v>25</v>
      </c>
      <c r="B23" s="18">
        <v>75</v>
      </c>
      <c r="C23" s="18">
        <v>0</v>
      </c>
      <c r="D23" s="18">
        <v>0</v>
      </c>
    </row>
    <row r="24" spans="1:4">
      <c r="A24" s="146" t="s">
        <v>26</v>
      </c>
      <c r="B24" s="18">
        <v>0</v>
      </c>
      <c r="C24" s="18">
        <v>0</v>
      </c>
      <c r="D24" s="18">
        <v>0</v>
      </c>
    </row>
    <row r="25" spans="1:4">
      <c r="A25" s="146" t="s">
        <v>27</v>
      </c>
      <c r="B25" s="18">
        <v>-12702</v>
      </c>
      <c r="C25" s="18">
        <v>-13243</v>
      </c>
      <c r="D25" s="18">
        <v>-12903</v>
      </c>
    </row>
    <row r="26" spans="1:4">
      <c r="A26" s="146" t="s">
        <v>28</v>
      </c>
      <c r="B26" s="18">
        <v>-2783</v>
      </c>
      <c r="C26" s="18">
        <v>24</v>
      </c>
      <c r="D26" s="18">
        <v>-22632</v>
      </c>
    </row>
    <row r="27" spans="1:4">
      <c r="A27" s="12" t="s">
        <v>29</v>
      </c>
      <c r="B27" s="149">
        <v>120921</v>
      </c>
      <c r="C27" s="149">
        <v>123588</v>
      </c>
      <c r="D27" s="149">
        <v>91561</v>
      </c>
    </row>
    <row r="28" spans="1:4">
      <c r="A28" s="146" t="s">
        <v>30</v>
      </c>
      <c r="B28" s="18">
        <v>-33004</v>
      </c>
      <c r="C28" s="18">
        <v>-32723</v>
      </c>
      <c r="D28" s="18">
        <v>-32482</v>
      </c>
    </row>
    <row r="29" spans="1:4">
      <c r="A29" s="146" t="s">
        <v>31</v>
      </c>
      <c r="B29" s="18">
        <v>0</v>
      </c>
      <c r="C29" s="18">
        <v>0</v>
      </c>
      <c r="D29" s="18">
        <v>0</v>
      </c>
    </row>
    <row r="30" spans="1:4">
      <c r="A30" s="12" t="s">
        <v>32</v>
      </c>
      <c r="B30" s="19">
        <v>87917</v>
      </c>
      <c r="C30" s="19">
        <v>90865</v>
      </c>
      <c r="D30" s="19">
        <v>59079</v>
      </c>
    </row>
    <row r="31" spans="1:4">
      <c r="A31" s="146" t="s">
        <v>33</v>
      </c>
      <c r="B31" s="20">
        <v>0</v>
      </c>
      <c r="C31" s="20">
        <v>0</v>
      </c>
      <c r="D31" s="20">
        <v>0</v>
      </c>
    </row>
    <row r="32" spans="1:4">
      <c r="A32" s="146" t="s">
        <v>34</v>
      </c>
      <c r="B32" s="14">
        <v>0</v>
      </c>
      <c r="C32" s="14">
        <v>0</v>
      </c>
      <c r="D32" s="14">
        <v>0</v>
      </c>
    </row>
    <row r="33" spans="1:4">
      <c r="A33" s="146" t="s">
        <v>35</v>
      </c>
      <c r="B33" s="16">
        <v>8241</v>
      </c>
      <c r="C33" s="16">
        <v>6796</v>
      </c>
      <c r="D33" s="16">
        <v>9372</v>
      </c>
    </row>
    <row r="34" spans="1:4">
      <c r="A34" s="146" t="s">
        <v>36</v>
      </c>
      <c r="B34" s="16">
        <v>0</v>
      </c>
      <c r="C34" s="16">
        <v>0</v>
      </c>
      <c r="D34" s="16">
        <v>0</v>
      </c>
    </row>
    <row r="35" spans="1:4">
      <c r="A35" s="150" t="s">
        <v>37</v>
      </c>
      <c r="B35" s="13">
        <v>8241</v>
      </c>
      <c r="C35" s="13">
        <v>6796</v>
      </c>
      <c r="D35" s="13">
        <v>9372</v>
      </c>
    </row>
    <row r="36" spans="1:4">
      <c r="A36" s="151" t="s">
        <v>38</v>
      </c>
      <c r="B36" s="152">
        <v>96158</v>
      </c>
      <c r="C36" s="152">
        <v>97661</v>
      </c>
      <c r="D36" s="152">
        <v>68451</v>
      </c>
    </row>
    <row r="37" spans="1:4">
      <c r="A37" s="153" t="s">
        <v>313</v>
      </c>
      <c r="B37" s="154"/>
      <c r="C37" s="154"/>
      <c r="D37" s="154"/>
    </row>
    <row r="38" spans="1:4">
      <c r="A38" s="155" t="s">
        <v>40</v>
      </c>
      <c r="B38" s="13">
        <v>5005</v>
      </c>
      <c r="C38" s="13">
        <v>4545</v>
      </c>
      <c r="D38" s="13">
        <v>3987</v>
      </c>
    </row>
    <row r="39" spans="1:4">
      <c r="A39" s="146" t="s">
        <v>41</v>
      </c>
      <c r="B39" s="156">
        <v>3323</v>
      </c>
      <c r="C39" s="14">
        <f>2498+305</f>
        <v>2803</v>
      </c>
      <c r="D39" s="14">
        <f>2295+241</f>
        <v>2536</v>
      </c>
    </row>
    <row r="40" spans="1:4">
      <c r="A40" s="146" t="s">
        <v>42</v>
      </c>
      <c r="B40" s="16">
        <v>1473</v>
      </c>
      <c r="C40" s="16">
        <v>1547</v>
      </c>
      <c r="D40" s="16">
        <v>1271</v>
      </c>
    </row>
    <row r="41" spans="1:4">
      <c r="A41" s="146" t="s">
        <v>43</v>
      </c>
      <c r="B41" s="16">
        <v>209</v>
      </c>
      <c r="C41" s="16">
        <v>195</v>
      </c>
      <c r="D41" s="16">
        <v>180</v>
      </c>
    </row>
    <row r="42" spans="1:4">
      <c r="A42" s="146" t="s">
        <v>44</v>
      </c>
      <c r="B42" s="16">
        <v>0</v>
      </c>
      <c r="C42" s="16">
        <v>0</v>
      </c>
      <c r="D42" s="16">
        <v>0</v>
      </c>
    </row>
    <row r="43" spans="1:4">
      <c r="A43" s="146" t="s">
        <v>278</v>
      </c>
      <c r="B43" s="157">
        <v>0</v>
      </c>
      <c r="C43" s="16"/>
      <c r="D43" s="16"/>
    </row>
    <row r="44" spans="1:4">
      <c r="A44" s="146" t="s">
        <v>45</v>
      </c>
      <c r="B44" s="16">
        <v>0</v>
      </c>
      <c r="C44" s="16">
        <v>0</v>
      </c>
      <c r="D44" s="16">
        <v>0</v>
      </c>
    </row>
    <row r="45" spans="1:4">
      <c r="A45" s="12" t="s">
        <v>46</v>
      </c>
      <c r="B45" s="19">
        <v>33023</v>
      </c>
      <c r="C45" s="19">
        <v>34372</v>
      </c>
      <c r="D45" s="19">
        <v>17813</v>
      </c>
    </row>
    <row r="46" spans="1:4">
      <c r="A46" s="146" t="s">
        <v>47</v>
      </c>
      <c r="B46" s="16">
        <v>23776</v>
      </c>
      <c r="C46" s="16">
        <v>23765</v>
      </c>
      <c r="D46" s="16">
        <v>9648</v>
      </c>
    </row>
    <row r="47" spans="1:4">
      <c r="A47" s="146" t="s">
        <v>48</v>
      </c>
      <c r="B47" s="16">
        <v>3497</v>
      </c>
      <c r="C47" s="16">
        <v>3326</v>
      </c>
      <c r="D47" s="16">
        <v>1909</v>
      </c>
    </row>
    <row r="48" spans="1:4">
      <c r="A48" s="146" t="s">
        <v>49</v>
      </c>
      <c r="B48" s="16">
        <v>5750</v>
      </c>
      <c r="C48" s="16">
        <v>7281</v>
      </c>
      <c r="D48" s="16">
        <v>6256</v>
      </c>
    </row>
    <row r="49" spans="1:4">
      <c r="A49" s="12" t="s">
        <v>50</v>
      </c>
      <c r="B49" s="19">
        <v>21111</v>
      </c>
      <c r="C49" s="19">
        <v>20336</v>
      </c>
      <c r="D49" s="19">
        <v>24116</v>
      </c>
    </row>
    <row r="50" spans="1:4">
      <c r="A50" s="146" t="s">
        <v>33</v>
      </c>
      <c r="B50" s="16">
        <v>19</v>
      </c>
      <c r="C50" s="16">
        <v>20</v>
      </c>
      <c r="D50" s="16">
        <v>18</v>
      </c>
    </row>
    <row r="51" spans="1:4">
      <c r="A51" s="146" t="s">
        <v>51</v>
      </c>
      <c r="B51" s="16">
        <v>21092</v>
      </c>
      <c r="C51" s="16">
        <v>20316</v>
      </c>
      <c r="D51" s="16">
        <v>24098</v>
      </c>
    </row>
    <row r="52" spans="1:4">
      <c r="A52" s="12" t="s">
        <v>52</v>
      </c>
      <c r="B52" s="19">
        <v>37019</v>
      </c>
      <c r="C52" s="19">
        <v>38408</v>
      </c>
      <c r="D52" s="19">
        <v>22535</v>
      </c>
    </row>
    <row r="53" spans="1:4">
      <c r="A53" s="146" t="s">
        <v>53</v>
      </c>
      <c r="B53" s="16">
        <v>30000</v>
      </c>
      <c r="C53" s="16">
        <v>20000</v>
      </c>
      <c r="D53" s="16">
        <v>0</v>
      </c>
    </row>
    <row r="54" spans="1:4">
      <c r="A54" s="146" t="s">
        <v>54</v>
      </c>
      <c r="B54" s="16">
        <v>5168</v>
      </c>
      <c r="C54" s="16">
        <v>0</v>
      </c>
      <c r="D54" s="16">
        <v>0</v>
      </c>
    </row>
    <row r="55" spans="1:4">
      <c r="A55" s="146" t="s">
        <v>55</v>
      </c>
      <c r="B55" s="16">
        <v>1851</v>
      </c>
      <c r="C55" s="157">
        <v>18408</v>
      </c>
      <c r="D55" s="16">
        <v>22535</v>
      </c>
    </row>
    <row r="56" spans="1:4">
      <c r="A56" s="146" t="s">
        <v>56</v>
      </c>
      <c r="B56" s="16">
        <v>0</v>
      </c>
      <c r="C56" s="16">
        <v>0</v>
      </c>
      <c r="D56" s="16">
        <v>0</v>
      </c>
    </row>
    <row r="57" spans="1:4">
      <c r="A57" s="158" t="s">
        <v>57</v>
      </c>
      <c r="B57" s="159">
        <v>96158</v>
      </c>
      <c r="C57" s="159">
        <v>97661</v>
      </c>
      <c r="D57" s="159">
        <v>68451</v>
      </c>
    </row>
    <row r="58" spans="1:4">
      <c r="A58" s="4" t="s">
        <v>58</v>
      </c>
      <c r="B58" s="122">
        <v>2025</v>
      </c>
      <c r="C58" s="122">
        <v>2024</v>
      </c>
      <c r="D58" s="122">
        <v>2023</v>
      </c>
    </row>
    <row r="59" spans="1:4">
      <c r="A59" s="87" t="s">
        <v>59</v>
      </c>
      <c r="B59" s="52"/>
      <c r="C59" s="52"/>
      <c r="D59" s="52"/>
    </row>
    <row r="60" spans="1:4">
      <c r="A60" s="160" t="s">
        <v>60</v>
      </c>
      <c r="B60" s="161"/>
      <c r="C60" s="161"/>
      <c r="D60" s="162"/>
    </row>
    <row r="61" spans="1:4">
      <c r="A61" s="7" t="s">
        <v>61</v>
      </c>
      <c r="B61" s="163">
        <v>23</v>
      </c>
      <c r="C61" s="163">
        <v>23</v>
      </c>
      <c r="D61" s="163">
        <v>23</v>
      </c>
    </row>
    <row r="62" spans="1:4" ht="24.6">
      <c r="A62" s="7" t="s">
        <v>62</v>
      </c>
      <c r="B62" s="164">
        <v>21</v>
      </c>
      <c r="C62" s="165">
        <v>17</v>
      </c>
      <c r="D62" s="165">
        <v>13</v>
      </c>
    </row>
    <row r="63" spans="1:4">
      <c r="A63" s="7" t="s">
        <v>63</v>
      </c>
      <c r="B63" s="164">
        <v>13.04</v>
      </c>
      <c r="C63" s="165">
        <v>17.39</v>
      </c>
      <c r="D63" s="166">
        <v>35</v>
      </c>
    </row>
    <row r="64" spans="1:4">
      <c r="A64" s="7" t="s">
        <v>64</v>
      </c>
      <c r="B64" s="167">
        <v>78.260000000000005</v>
      </c>
      <c r="C64" s="167">
        <v>73.91</v>
      </c>
      <c r="D64" s="166">
        <v>56.999999999999993</v>
      </c>
    </row>
    <row r="65" spans="1:4">
      <c r="A65" s="7" t="s">
        <v>65</v>
      </c>
      <c r="B65" s="167">
        <v>4.3499999999999996</v>
      </c>
      <c r="C65" s="167">
        <v>4.3499999999999996</v>
      </c>
      <c r="D65" s="166">
        <v>4</v>
      </c>
    </row>
    <row r="66" spans="1:4">
      <c r="A66" s="7" t="s">
        <v>66</v>
      </c>
      <c r="B66" s="167">
        <v>4.3499999999999996</v>
      </c>
      <c r="C66" s="167">
        <v>4.3499999999999996</v>
      </c>
      <c r="D66" s="166">
        <v>4</v>
      </c>
    </row>
    <row r="67" spans="1:4">
      <c r="A67" s="7" t="s">
        <v>67</v>
      </c>
      <c r="B67" s="167">
        <v>8.6999999999999993</v>
      </c>
      <c r="C67" s="167">
        <v>8.6999999999999993</v>
      </c>
      <c r="D67" s="166">
        <v>9</v>
      </c>
    </row>
    <row r="68" spans="1:4">
      <c r="A68" s="7" t="s">
        <v>68</v>
      </c>
      <c r="B68" s="167">
        <v>0</v>
      </c>
      <c r="C68" s="167">
        <v>0</v>
      </c>
      <c r="D68" s="166">
        <v>0</v>
      </c>
    </row>
    <row r="69" spans="1:4">
      <c r="A69" s="7" t="s">
        <v>69</v>
      </c>
      <c r="B69" s="167">
        <v>0</v>
      </c>
      <c r="C69" s="167">
        <v>0</v>
      </c>
      <c r="D69" s="166">
        <v>0</v>
      </c>
    </row>
    <row r="70" spans="1:4">
      <c r="A70" s="7" t="s">
        <v>70</v>
      </c>
      <c r="B70" s="167">
        <v>13.04</v>
      </c>
      <c r="C70" s="167">
        <v>13.04</v>
      </c>
      <c r="D70" s="166">
        <v>13</v>
      </c>
    </row>
    <row r="71" spans="1:4" ht="24.6">
      <c r="A71" s="7" t="s">
        <v>71</v>
      </c>
      <c r="B71" s="167">
        <v>0</v>
      </c>
      <c r="C71" s="167">
        <v>0</v>
      </c>
      <c r="D71" s="166">
        <v>0</v>
      </c>
    </row>
    <row r="72" spans="1:4">
      <c r="A72" s="7" t="s">
        <v>72</v>
      </c>
      <c r="B72" s="167">
        <v>0</v>
      </c>
      <c r="C72" s="167">
        <v>0</v>
      </c>
      <c r="D72" s="166">
        <v>0</v>
      </c>
    </row>
    <row r="73" spans="1:4">
      <c r="A73" s="7" t="s">
        <v>73</v>
      </c>
      <c r="B73" s="167">
        <v>0</v>
      </c>
      <c r="C73" s="167">
        <v>0</v>
      </c>
      <c r="D73" s="166">
        <v>0</v>
      </c>
    </row>
    <row r="74" spans="1:4">
      <c r="A74" s="7" t="s">
        <v>74</v>
      </c>
      <c r="B74" s="165">
        <v>0</v>
      </c>
      <c r="C74" s="165">
        <v>0</v>
      </c>
      <c r="D74" s="165">
        <v>0</v>
      </c>
    </row>
    <row r="75" spans="1:4">
      <c r="A75" s="168" t="s">
        <v>75</v>
      </c>
      <c r="B75" s="15"/>
      <c r="C75" s="169"/>
      <c r="D75" s="169"/>
    </row>
    <row r="76" spans="1:4">
      <c r="A76" s="62" t="s">
        <v>76</v>
      </c>
      <c r="B76" s="170">
        <v>2691</v>
      </c>
      <c r="C76" s="171">
        <v>2516</v>
      </c>
      <c r="D76" s="172">
        <v>2301</v>
      </c>
    </row>
    <row r="77" spans="1:4">
      <c r="A77" s="64" t="s">
        <v>77</v>
      </c>
      <c r="B77" s="173">
        <v>920</v>
      </c>
      <c r="C77" s="174">
        <v>862</v>
      </c>
      <c r="D77" s="174">
        <v>796</v>
      </c>
    </row>
    <row r="78" spans="1:4">
      <c r="A78" s="168" t="s">
        <v>42</v>
      </c>
      <c r="B78" s="175">
        <v>1480</v>
      </c>
      <c r="C78" s="175">
        <f>SUM(C79:C88)</f>
        <v>1317</v>
      </c>
      <c r="D78" s="175">
        <f>SUM(D79:D88)</f>
        <v>1266</v>
      </c>
    </row>
    <row r="79" spans="1:4">
      <c r="A79" s="7" t="s">
        <v>78</v>
      </c>
      <c r="B79" s="176">
        <v>29</v>
      </c>
      <c r="C79" s="176">
        <v>30</v>
      </c>
      <c r="D79" s="176">
        <v>41</v>
      </c>
    </row>
    <row r="80" spans="1:4">
      <c r="A80" s="7" t="s">
        <v>79</v>
      </c>
      <c r="B80" s="176">
        <v>523</v>
      </c>
      <c r="C80" s="176">
        <v>518</v>
      </c>
      <c r="D80" s="176">
        <v>421</v>
      </c>
    </row>
    <row r="81" spans="1:4">
      <c r="A81" s="7" t="s">
        <v>80</v>
      </c>
      <c r="B81" s="176">
        <v>358</v>
      </c>
      <c r="C81" s="176">
        <v>289</v>
      </c>
      <c r="D81" s="177">
        <v>317</v>
      </c>
    </row>
    <row r="82" spans="1:4">
      <c r="A82" s="7" t="s">
        <v>81</v>
      </c>
      <c r="B82" s="176">
        <v>444</v>
      </c>
      <c r="C82" s="176">
        <v>371</v>
      </c>
      <c r="D82" s="177">
        <v>302</v>
      </c>
    </row>
    <row r="83" spans="1:4">
      <c r="A83" s="7" t="s">
        <v>82</v>
      </c>
      <c r="B83" s="176">
        <v>25</v>
      </c>
      <c r="C83" s="176">
        <v>27</v>
      </c>
      <c r="D83" s="176">
        <v>18</v>
      </c>
    </row>
    <row r="84" spans="1:4">
      <c r="A84" s="7" t="s">
        <v>83</v>
      </c>
      <c r="B84" s="176">
        <v>11</v>
      </c>
      <c r="C84" s="176">
        <v>23</v>
      </c>
      <c r="D84" s="176">
        <v>84</v>
      </c>
    </row>
    <row r="85" spans="1:4">
      <c r="A85" s="7" t="s">
        <v>84</v>
      </c>
      <c r="B85" s="176">
        <v>0</v>
      </c>
      <c r="C85" s="176">
        <v>0</v>
      </c>
      <c r="D85" s="176">
        <v>0</v>
      </c>
    </row>
    <row r="86" spans="1:4">
      <c r="A86" s="7" t="s">
        <v>85</v>
      </c>
      <c r="B86" s="178">
        <v>64</v>
      </c>
      <c r="C86" s="178">
        <v>30</v>
      </c>
      <c r="D86" s="178">
        <v>37</v>
      </c>
    </row>
    <row r="87" spans="1:4">
      <c r="A87" s="7" t="s">
        <v>86</v>
      </c>
      <c r="B87" s="176">
        <v>0</v>
      </c>
      <c r="C87" s="176">
        <v>0</v>
      </c>
      <c r="D87" s="176">
        <v>0</v>
      </c>
    </row>
    <row r="88" spans="1:4">
      <c r="A88" s="7" t="s">
        <v>87</v>
      </c>
      <c r="B88" s="176">
        <v>26</v>
      </c>
      <c r="C88" s="176">
        <v>29</v>
      </c>
      <c r="D88" s="177">
        <v>46</v>
      </c>
    </row>
    <row r="89" spans="1:4">
      <c r="A89" s="179" t="s">
        <v>88</v>
      </c>
      <c r="B89" s="180"/>
      <c r="C89" s="181"/>
      <c r="D89" s="169"/>
    </row>
    <row r="90" spans="1:4" ht="17.100000000000001" customHeight="1">
      <c r="A90" s="371" t="s">
        <v>89</v>
      </c>
      <c r="B90" s="183">
        <v>319</v>
      </c>
      <c r="C90" s="183">
        <v>305</v>
      </c>
      <c r="D90" s="183">
        <v>241</v>
      </c>
    </row>
    <row r="91" spans="1:4">
      <c r="A91" s="184" t="s">
        <v>90</v>
      </c>
      <c r="B91" s="180">
        <v>12</v>
      </c>
      <c r="C91" s="176">
        <v>12</v>
      </c>
      <c r="D91" s="185">
        <v>10</v>
      </c>
    </row>
    <row r="92" spans="1:4">
      <c r="A92" s="184" t="s">
        <v>91</v>
      </c>
      <c r="B92" s="10">
        <v>4.05</v>
      </c>
      <c r="C92" s="186">
        <v>4.33</v>
      </c>
      <c r="D92" s="186">
        <v>9.64</v>
      </c>
    </row>
    <row r="93" spans="1:4">
      <c r="A93" s="7" t="s">
        <v>92</v>
      </c>
      <c r="B93" s="186">
        <v>5.05</v>
      </c>
      <c r="C93" s="10">
        <v>4.7300000000000004</v>
      </c>
      <c r="D93" s="10">
        <v>2.21</v>
      </c>
    </row>
    <row r="94" spans="1:4">
      <c r="A94" s="179" t="s">
        <v>93</v>
      </c>
      <c r="B94" s="15"/>
      <c r="C94" s="169"/>
      <c r="D94" s="169"/>
    </row>
    <row r="95" spans="1:4">
      <c r="A95" s="187" t="s">
        <v>94</v>
      </c>
      <c r="B95" s="188">
        <v>0</v>
      </c>
      <c r="C95" s="189">
        <v>0</v>
      </c>
      <c r="D95" s="189">
        <v>0</v>
      </c>
    </row>
    <row r="96" spans="1:4">
      <c r="A96" s="7" t="s">
        <v>95</v>
      </c>
      <c r="B96" s="10">
        <v>18115</v>
      </c>
      <c r="C96" s="10">
        <v>16698.62</v>
      </c>
      <c r="D96" s="10">
        <v>14718.76</v>
      </c>
    </row>
    <row r="97" spans="1:4">
      <c r="A97" s="184" t="s">
        <v>96</v>
      </c>
      <c r="B97" s="186">
        <v>5347</v>
      </c>
      <c r="C97" s="186">
        <v>4874.72</v>
      </c>
      <c r="D97" s="10">
        <v>8453.7999999999993</v>
      </c>
    </row>
    <row r="98" spans="1:4">
      <c r="A98" s="184" t="s">
        <v>97</v>
      </c>
      <c r="B98" s="10">
        <v>4838</v>
      </c>
      <c r="C98" s="10">
        <v>4417.37</v>
      </c>
      <c r="D98" s="186">
        <v>9912.2000000000007</v>
      </c>
    </row>
    <row r="99" spans="1:4">
      <c r="A99" s="88" t="s">
        <v>98</v>
      </c>
      <c r="B99" s="190"/>
      <c r="C99" s="89"/>
      <c r="D99" s="191"/>
    </row>
    <row r="100" spans="1:4">
      <c r="A100" s="182" t="s">
        <v>99</v>
      </c>
      <c r="B100" s="183">
        <v>52.27</v>
      </c>
      <c r="C100" s="183">
        <v>76.53</v>
      </c>
      <c r="D100" s="183">
        <v>136</v>
      </c>
    </row>
    <row r="101" spans="1:4">
      <c r="A101" s="7" t="s">
        <v>100</v>
      </c>
      <c r="B101" s="180">
        <v>0</v>
      </c>
      <c r="C101" s="176">
        <v>0</v>
      </c>
      <c r="D101" s="180">
        <v>0</v>
      </c>
    </row>
    <row r="102" spans="1:4">
      <c r="A102" s="146" t="s">
        <v>101</v>
      </c>
      <c r="B102" s="180">
        <v>0</v>
      </c>
      <c r="C102" s="180">
        <v>0</v>
      </c>
      <c r="D102" s="180">
        <v>0</v>
      </c>
    </row>
    <row r="103" spans="1:4">
      <c r="A103" s="146" t="s">
        <v>102</v>
      </c>
      <c r="B103" s="176">
        <v>0</v>
      </c>
      <c r="C103" s="180">
        <v>0</v>
      </c>
      <c r="D103" s="180">
        <v>0</v>
      </c>
    </row>
    <row r="104" spans="1:4">
      <c r="A104" s="146" t="s">
        <v>103</v>
      </c>
      <c r="B104" s="180">
        <v>0</v>
      </c>
      <c r="C104" s="180">
        <v>0</v>
      </c>
      <c r="D104" s="176">
        <v>0</v>
      </c>
    </row>
    <row r="105" spans="1:4" ht="24.6">
      <c r="A105" s="146" t="s">
        <v>104</v>
      </c>
      <c r="B105" s="176">
        <v>0</v>
      </c>
      <c r="C105" s="180">
        <v>0</v>
      </c>
      <c r="D105" s="180">
        <v>0</v>
      </c>
    </row>
    <row r="106" spans="1:4" ht="14.85" customHeight="1">
      <c r="A106" s="146" t="s">
        <v>105</v>
      </c>
      <c r="B106" s="180">
        <v>0</v>
      </c>
      <c r="C106" s="180">
        <v>0</v>
      </c>
      <c r="D106" s="176">
        <v>0</v>
      </c>
    </row>
    <row r="107" spans="1:4">
      <c r="A107" s="146" t="s">
        <v>106</v>
      </c>
      <c r="B107" s="176">
        <v>0</v>
      </c>
      <c r="C107" s="180">
        <v>0</v>
      </c>
      <c r="D107" s="180">
        <v>0</v>
      </c>
    </row>
    <row r="108" spans="1:4">
      <c r="A108" s="146" t="s">
        <v>107</v>
      </c>
      <c r="B108" s="180">
        <v>0</v>
      </c>
      <c r="C108" s="176">
        <v>0</v>
      </c>
      <c r="D108" s="180">
        <v>0</v>
      </c>
    </row>
    <row r="109" spans="1:4">
      <c r="A109" s="146" t="s">
        <v>108</v>
      </c>
      <c r="B109" s="180">
        <v>0</v>
      </c>
      <c r="C109" s="180">
        <v>0</v>
      </c>
      <c r="D109" s="180">
        <v>0</v>
      </c>
    </row>
    <row r="110" spans="1:4" ht="15" customHeight="1">
      <c r="A110" s="146" t="s">
        <v>109</v>
      </c>
      <c r="B110" s="192">
        <v>0</v>
      </c>
      <c r="C110" s="192">
        <v>0</v>
      </c>
      <c r="D110" s="192">
        <v>0</v>
      </c>
    </row>
    <row r="111" spans="1:4">
      <c r="A111" s="88" t="s">
        <v>111</v>
      </c>
      <c r="C111" s="89"/>
      <c r="D111" s="89"/>
    </row>
    <row r="112" spans="1:4">
      <c r="A112" s="182" t="s">
        <v>112</v>
      </c>
      <c r="B112" s="193">
        <v>0</v>
      </c>
      <c r="C112" s="193">
        <v>0</v>
      </c>
      <c r="D112" s="193">
        <v>0</v>
      </c>
    </row>
    <row r="113" spans="1:4">
      <c r="A113" s="7" t="s">
        <v>113</v>
      </c>
      <c r="B113" s="194">
        <v>43.48</v>
      </c>
      <c r="C113" s="194">
        <v>43.48</v>
      </c>
      <c r="D113" s="194">
        <v>43.5</v>
      </c>
    </row>
    <row r="114" spans="1:4">
      <c r="A114" s="7" t="s">
        <v>114</v>
      </c>
      <c r="B114" s="194">
        <v>30.43</v>
      </c>
      <c r="C114" s="194">
        <v>30.43</v>
      </c>
      <c r="D114" s="194">
        <v>30.4</v>
      </c>
    </row>
    <row r="115" spans="1:4">
      <c r="A115" s="7" t="s">
        <v>115</v>
      </c>
      <c r="B115" s="194">
        <v>21.74</v>
      </c>
      <c r="C115" s="194">
        <v>21.74</v>
      </c>
      <c r="D115" s="194">
        <v>21.7</v>
      </c>
    </row>
    <row r="116" spans="1:4">
      <c r="A116" s="7" t="s">
        <v>116</v>
      </c>
      <c r="B116" s="195">
        <v>4.3499999999999996</v>
      </c>
      <c r="C116" s="195">
        <v>4.3499999999999996</v>
      </c>
      <c r="D116" s="195">
        <v>4.3</v>
      </c>
    </row>
    <row r="117" spans="1:4">
      <c r="A117" s="7" t="s">
        <v>117</v>
      </c>
      <c r="B117" s="194" t="s">
        <v>314</v>
      </c>
      <c r="C117" s="195">
        <v>30.3</v>
      </c>
      <c r="D117" s="195">
        <v>34.590000000000003</v>
      </c>
    </row>
    <row r="118" spans="1:4">
      <c r="A118" s="168" t="s">
        <v>118</v>
      </c>
      <c r="B118" s="168"/>
      <c r="C118" s="169"/>
      <c r="D118" s="169"/>
    </row>
    <row r="119" spans="1:4">
      <c r="A119" s="59" t="s">
        <v>119</v>
      </c>
      <c r="B119" s="79">
        <v>0</v>
      </c>
      <c r="C119" s="79">
        <v>0</v>
      </c>
      <c r="D119" s="79">
        <v>0</v>
      </c>
    </row>
    <row r="120" spans="1:4">
      <c r="A120" s="99" t="s">
        <v>120</v>
      </c>
      <c r="B120" s="73">
        <v>30.8</v>
      </c>
      <c r="C120" s="73">
        <v>68.2</v>
      </c>
      <c r="D120" s="73">
        <v>58.4</v>
      </c>
    </row>
    <row r="121" spans="1:4">
      <c r="A121" s="59" t="s">
        <v>121</v>
      </c>
      <c r="B121" s="79">
        <v>19.8</v>
      </c>
      <c r="C121" s="79">
        <v>23</v>
      </c>
      <c r="D121" s="79">
        <v>87.6</v>
      </c>
    </row>
    <row r="122" spans="1:4">
      <c r="A122" s="99" t="s">
        <v>122</v>
      </c>
      <c r="B122" s="73">
        <v>115.1</v>
      </c>
      <c r="C122" s="73">
        <v>55.4</v>
      </c>
      <c r="D122" s="73">
        <v>166.8</v>
      </c>
    </row>
    <row r="123" spans="1:4">
      <c r="A123" s="59" t="s">
        <v>123</v>
      </c>
      <c r="B123" s="79">
        <v>55.3</v>
      </c>
      <c r="C123" s="79">
        <v>48.9</v>
      </c>
      <c r="D123" s="79">
        <v>104.3</v>
      </c>
    </row>
    <row r="124" spans="1:4">
      <c r="A124" s="65" t="s">
        <v>124</v>
      </c>
      <c r="B124" s="70"/>
      <c r="C124" s="70"/>
      <c r="D124" s="70"/>
    </row>
    <row r="125" spans="1:4">
      <c r="A125" s="99" t="s">
        <v>125</v>
      </c>
      <c r="B125" s="67">
        <v>23</v>
      </c>
      <c r="C125" s="67">
        <v>23</v>
      </c>
      <c r="D125" s="67">
        <v>23</v>
      </c>
    </row>
    <row r="126" spans="1:4">
      <c r="A126" s="59" t="s">
        <v>126</v>
      </c>
      <c r="B126" s="68">
        <v>0</v>
      </c>
      <c r="C126" s="68">
        <v>0</v>
      </c>
      <c r="D126" s="68">
        <v>2</v>
      </c>
    </row>
    <row r="127" spans="1:4">
      <c r="A127" s="99" t="s">
        <v>127</v>
      </c>
      <c r="B127" s="82">
        <v>0</v>
      </c>
      <c r="C127" s="82">
        <v>0</v>
      </c>
      <c r="D127" s="82">
        <v>0</v>
      </c>
    </row>
    <row r="128" spans="1:4">
      <c r="A128" s="83" t="s">
        <v>128</v>
      </c>
      <c r="C128" s="85"/>
      <c r="D128" s="85"/>
    </row>
    <row r="129" spans="1:4">
      <c r="A129" s="99" t="s">
        <v>294</v>
      </c>
      <c r="B129" s="67">
        <v>0</v>
      </c>
      <c r="C129" s="67">
        <v>0</v>
      </c>
      <c r="D129" s="67">
        <v>0</v>
      </c>
    </row>
    <row r="130" spans="1:4">
      <c r="A130" s="99" t="s">
        <v>279</v>
      </c>
      <c r="B130" s="67">
        <v>0</v>
      </c>
      <c r="C130" s="67">
        <v>0</v>
      </c>
      <c r="D130" s="67">
        <v>0</v>
      </c>
    </row>
    <row r="131" spans="1:4">
      <c r="A131" s="99" t="s">
        <v>131</v>
      </c>
      <c r="B131" s="67">
        <v>0</v>
      </c>
      <c r="C131" s="67">
        <v>0</v>
      </c>
      <c r="D131" s="67">
        <v>0</v>
      </c>
    </row>
    <row r="132" spans="1:4">
      <c r="A132" s="99" t="s">
        <v>132</v>
      </c>
      <c r="B132" s="67">
        <v>0</v>
      </c>
      <c r="C132" s="67">
        <v>0</v>
      </c>
      <c r="D132" s="67">
        <v>0</v>
      </c>
    </row>
    <row r="133" spans="1:4">
      <c r="A133" s="99" t="s">
        <v>133</v>
      </c>
      <c r="B133" s="67">
        <v>0</v>
      </c>
      <c r="C133" s="67">
        <v>0</v>
      </c>
      <c r="D133" s="67">
        <v>0</v>
      </c>
    </row>
    <row r="134" spans="1:4">
      <c r="A134" s="65" t="s">
        <v>135</v>
      </c>
      <c r="C134" s="70"/>
      <c r="D134" s="70"/>
    </row>
    <row r="135" spans="1:4">
      <c r="A135" s="99" t="s">
        <v>136</v>
      </c>
      <c r="B135" s="86">
        <v>29</v>
      </c>
      <c r="C135" s="67">
        <f>27427/1000</f>
        <v>27.427</v>
      </c>
      <c r="D135" s="67">
        <v>3</v>
      </c>
    </row>
    <row r="136" spans="1:4">
      <c r="A136" s="99" t="s">
        <v>137</v>
      </c>
      <c r="B136" s="86">
        <v>20</v>
      </c>
      <c r="C136" s="67">
        <v>20</v>
      </c>
      <c r="D136" s="67">
        <v>4</v>
      </c>
    </row>
    <row r="137" spans="1:4">
      <c r="A137" s="4" t="s">
        <v>138</v>
      </c>
      <c r="B137" s="122">
        <v>2025</v>
      </c>
      <c r="C137" s="122">
        <v>2024</v>
      </c>
      <c r="D137" s="122">
        <v>2023</v>
      </c>
    </row>
    <row r="138" spans="1:4">
      <c r="A138" s="87" t="s">
        <v>139</v>
      </c>
      <c r="B138" s="52"/>
      <c r="C138" s="52"/>
      <c r="D138" s="52"/>
    </row>
    <row r="139" spans="1:4">
      <c r="A139" s="88" t="s">
        <v>140</v>
      </c>
      <c r="B139" s="89"/>
      <c r="C139" s="89"/>
      <c r="D139" s="90"/>
    </row>
    <row r="140" spans="1:4">
      <c r="A140" s="99" t="s">
        <v>141</v>
      </c>
      <c r="B140" s="67">
        <v>0</v>
      </c>
      <c r="C140" s="67">
        <v>0</v>
      </c>
      <c r="D140" s="67">
        <v>0</v>
      </c>
    </row>
    <row r="141" spans="1:4">
      <c r="A141" s="99" t="s">
        <v>142</v>
      </c>
      <c r="B141" s="67">
        <v>0</v>
      </c>
      <c r="C141" s="67">
        <v>0</v>
      </c>
      <c r="D141" s="67">
        <v>0</v>
      </c>
    </row>
    <row r="142" spans="1:4">
      <c r="A142" s="99" t="s">
        <v>143</v>
      </c>
      <c r="B142" s="67">
        <v>0</v>
      </c>
      <c r="C142" s="67">
        <v>0</v>
      </c>
      <c r="D142" s="67">
        <v>0</v>
      </c>
    </row>
    <row r="143" spans="1:4" ht="14.85" customHeight="1">
      <c r="A143" s="65" t="s">
        <v>144</v>
      </c>
      <c r="B143" s="73"/>
      <c r="C143" s="70"/>
      <c r="D143" s="70"/>
    </row>
    <row r="144" spans="1:4">
      <c r="A144" s="92" t="s">
        <v>145</v>
      </c>
      <c r="B144" s="73">
        <v>0</v>
      </c>
      <c r="C144" s="93" t="s">
        <v>146</v>
      </c>
      <c r="D144" s="93">
        <v>0</v>
      </c>
    </row>
    <row r="145" spans="1:4">
      <c r="A145" s="99" t="s">
        <v>147</v>
      </c>
      <c r="B145" s="73">
        <f>40532.33/1000</f>
        <v>40.532330000000002</v>
      </c>
      <c r="C145" s="73" t="s">
        <v>146</v>
      </c>
      <c r="D145" s="73">
        <v>5.6</v>
      </c>
    </row>
    <row r="146" spans="1:4">
      <c r="A146" s="99" t="s">
        <v>148</v>
      </c>
      <c r="B146" s="73">
        <f>162129.31/1000</f>
        <v>162.12931</v>
      </c>
      <c r="C146" s="73" t="s">
        <v>146</v>
      </c>
      <c r="D146" s="73">
        <v>22.3</v>
      </c>
    </row>
    <row r="147" spans="1:4">
      <c r="A147" s="99" t="s">
        <v>149</v>
      </c>
      <c r="B147" s="73">
        <f>81064.12/1000</f>
        <v>81.064119999999988</v>
      </c>
      <c r="C147" s="73">
        <v>0</v>
      </c>
      <c r="D147" s="73">
        <v>0</v>
      </c>
    </row>
    <row r="148" spans="1:4">
      <c r="A148" s="99" t="s">
        <v>150</v>
      </c>
      <c r="B148" s="73">
        <f>81064.66/1000</f>
        <v>81.064660000000003</v>
      </c>
      <c r="C148" s="73">
        <v>0</v>
      </c>
      <c r="D148" s="73">
        <v>0</v>
      </c>
    </row>
    <row r="149" spans="1:4" ht="24.6">
      <c r="A149" s="99" t="s">
        <v>151</v>
      </c>
      <c r="B149" s="73">
        <v>0</v>
      </c>
      <c r="C149" s="73">
        <v>0</v>
      </c>
      <c r="D149" s="73">
        <v>0</v>
      </c>
    </row>
    <row r="150" spans="1:4" ht="24.6">
      <c r="A150" s="99" t="s">
        <v>152</v>
      </c>
      <c r="B150" s="73">
        <v>0</v>
      </c>
      <c r="C150" s="73">
        <v>0</v>
      </c>
      <c r="D150" s="73">
        <v>0</v>
      </c>
    </row>
    <row r="151" spans="1:4">
      <c r="A151" s="196" t="s">
        <v>153</v>
      </c>
      <c r="B151" s="197"/>
      <c r="C151" s="197"/>
      <c r="D151" s="197"/>
    </row>
    <row r="152" spans="1:4" ht="29.85" customHeight="1">
      <c r="A152" s="412" t="s">
        <v>154</v>
      </c>
      <c r="B152" s="412"/>
      <c r="C152" s="412"/>
      <c r="D152" s="412"/>
    </row>
    <row r="153" spans="1:4">
      <c r="A153" s="7" t="s">
        <v>155</v>
      </c>
      <c r="B153" s="94">
        <f>364790.42/1000</f>
        <v>364.79041999999998</v>
      </c>
      <c r="C153" s="94">
        <f>59205.51/1000</f>
        <v>59.205510000000004</v>
      </c>
      <c r="D153" s="94">
        <v>27.8</v>
      </c>
    </row>
    <row r="154" spans="1:4">
      <c r="A154" s="7" t="s">
        <v>156</v>
      </c>
      <c r="B154" s="176">
        <v>5</v>
      </c>
      <c r="C154" s="176">
        <v>4</v>
      </c>
      <c r="D154" s="176">
        <v>2</v>
      </c>
    </row>
    <row r="155" spans="1:4">
      <c r="A155" s="7" t="s">
        <v>157</v>
      </c>
      <c r="B155" s="176">
        <f>162129.31/1000</f>
        <v>162.12931</v>
      </c>
      <c r="C155" s="176">
        <f>29602.76/1000</f>
        <v>29.60276</v>
      </c>
      <c r="D155" s="176">
        <v>22.3</v>
      </c>
    </row>
    <row r="156" spans="1:4" ht="24" customHeight="1">
      <c r="A156" s="198" t="s">
        <v>158</v>
      </c>
      <c r="B156" s="199" t="s">
        <v>315</v>
      </c>
      <c r="C156" s="199" t="s">
        <v>283</v>
      </c>
      <c r="D156" s="199" t="s">
        <v>316</v>
      </c>
    </row>
    <row r="157" spans="1:4" ht="36">
      <c r="A157" s="198" t="s">
        <v>160</v>
      </c>
      <c r="B157" s="199" t="s">
        <v>317</v>
      </c>
      <c r="C157" s="199" t="s">
        <v>285</v>
      </c>
      <c r="D157" s="199" t="s">
        <v>318</v>
      </c>
    </row>
    <row r="158" spans="1:4">
      <c r="A158" s="4" t="s">
        <v>162</v>
      </c>
      <c r="B158" s="122">
        <v>2025</v>
      </c>
      <c r="C158" s="122">
        <v>2024</v>
      </c>
      <c r="D158" s="122">
        <v>2023</v>
      </c>
    </row>
    <row r="159" spans="1:4">
      <c r="A159" s="87" t="s">
        <v>163</v>
      </c>
      <c r="B159" s="97"/>
      <c r="C159" s="97"/>
      <c r="D159" s="97"/>
    </row>
    <row r="160" spans="1:4">
      <c r="A160" s="88" t="s">
        <v>164</v>
      </c>
      <c r="B160" s="89"/>
      <c r="C160" s="89"/>
      <c r="D160" s="90"/>
    </row>
    <row r="161" spans="1:4" ht="24.6">
      <c r="A161" s="99" t="s">
        <v>165</v>
      </c>
      <c r="B161" s="72">
        <v>37.61</v>
      </c>
      <c r="C161" s="72">
        <v>47.74</v>
      </c>
      <c r="D161" s="72">
        <v>58.8</v>
      </c>
    </row>
    <row r="162" spans="1:4" ht="24.6">
      <c r="A162" s="99" t="s">
        <v>166</v>
      </c>
      <c r="B162" s="200">
        <v>0</v>
      </c>
      <c r="C162" s="98">
        <v>1E-3</v>
      </c>
      <c r="D162" s="98">
        <v>1.2199999999999999E-3</v>
      </c>
    </row>
    <row r="163" spans="1:4" ht="24" customHeight="1">
      <c r="A163" s="413" t="s">
        <v>167</v>
      </c>
      <c r="B163" s="413"/>
      <c r="C163" s="413"/>
      <c r="D163" s="413"/>
    </row>
    <row r="164" spans="1:4">
      <c r="A164" s="65" t="s">
        <v>168</v>
      </c>
      <c r="B164" s="100"/>
      <c r="C164" s="100"/>
      <c r="D164" s="101"/>
    </row>
    <row r="165" spans="1:4">
      <c r="A165" s="99" t="s">
        <v>169</v>
      </c>
      <c r="B165" s="72">
        <f>B168+B167+B166</f>
        <v>587.65</v>
      </c>
      <c r="C165" s="72">
        <f>C168+C167+C166</f>
        <v>587.65</v>
      </c>
      <c r="D165" s="72">
        <f>D168+D167+D166</f>
        <v>587.70000000000005</v>
      </c>
    </row>
    <row r="166" spans="1:4">
      <c r="A166" s="99" t="s">
        <v>170</v>
      </c>
      <c r="B166" s="72">
        <v>0</v>
      </c>
      <c r="C166" s="72">
        <v>0</v>
      </c>
      <c r="D166" s="72">
        <v>0</v>
      </c>
    </row>
    <row r="167" spans="1:4">
      <c r="A167" s="99" t="s">
        <v>171</v>
      </c>
      <c r="B167" s="72">
        <v>587.65</v>
      </c>
      <c r="C167" s="72">
        <v>587.65</v>
      </c>
      <c r="D167" s="72">
        <v>587.70000000000005</v>
      </c>
    </row>
    <row r="168" spans="1:4">
      <c r="A168" s="92" t="s">
        <v>172</v>
      </c>
      <c r="B168" s="102">
        <v>0</v>
      </c>
      <c r="C168" s="102">
        <v>0</v>
      </c>
      <c r="D168" s="102">
        <v>0</v>
      </c>
    </row>
    <row r="169" spans="1:4" ht="36" customHeight="1">
      <c r="A169" s="427" t="s">
        <v>173</v>
      </c>
      <c r="B169" s="427"/>
      <c r="C169" s="427"/>
      <c r="D169" s="427"/>
    </row>
    <row r="170" spans="1:4">
      <c r="A170" s="88" t="s">
        <v>174</v>
      </c>
      <c r="B170" s="89"/>
      <c r="C170" s="89"/>
      <c r="D170" s="89"/>
    </row>
    <row r="171" spans="1:4" ht="14.45" customHeight="1">
      <c r="A171" s="92" t="s">
        <v>175</v>
      </c>
      <c r="B171" s="93">
        <v>0</v>
      </c>
      <c r="C171" s="93">
        <v>0</v>
      </c>
      <c r="D171" s="93">
        <v>5</v>
      </c>
    </row>
    <row r="172" spans="1:4">
      <c r="A172" s="92" t="s">
        <v>176</v>
      </c>
      <c r="B172" s="93">
        <v>0</v>
      </c>
      <c r="C172" s="93">
        <v>0</v>
      </c>
      <c r="D172" s="93">
        <v>0</v>
      </c>
    </row>
    <row r="173" spans="1:4" ht="36" customHeight="1">
      <c r="A173" s="418" t="s">
        <v>177</v>
      </c>
      <c r="B173" s="418"/>
      <c r="C173" s="418"/>
      <c r="D173" s="418"/>
    </row>
    <row r="174" spans="1:4">
      <c r="A174" s="87" t="s">
        <v>178</v>
      </c>
      <c r="B174" s="52"/>
      <c r="C174" s="52"/>
      <c r="D174" s="52"/>
    </row>
    <row r="175" spans="1:4">
      <c r="A175" s="88" t="s">
        <v>179</v>
      </c>
      <c r="B175" s="104">
        <f>B176+C181</f>
        <v>571.4</v>
      </c>
      <c r="C175" s="89"/>
      <c r="D175" s="90"/>
    </row>
    <row r="176" spans="1:4">
      <c r="A176" s="65" t="s">
        <v>180</v>
      </c>
      <c r="B176" s="105">
        <f>SUM(C177:C180)</f>
        <v>285.13</v>
      </c>
      <c r="C176" s="70"/>
      <c r="D176" s="80"/>
    </row>
    <row r="177" spans="1:4">
      <c r="A177" s="99" t="s">
        <v>181</v>
      </c>
      <c r="B177" s="72">
        <v>477.45</v>
      </c>
      <c r="C177" s="72">
        <v>281.99</v>
      </c>
      <c r="D177" s="72">
        <v>553.5</v>
      </c>
    </row>
    <row r="178" spans="1:4">
      <c r="A178" s="99" t="s">
        <v>182</v>
      </c>
      <c r="B178" s="72">
        <v>8.77</v>
      </c>
      <c r="C178" s="72">
        <v>3.14</v>
      </c>
      <c r="D178" s="72">
        <v>7</v>
      </c>
    </row>
    <row r="179" spans="1:4">
      <c r="A179" s="99" t="s">
        <v>183</v>
      </c>
      <c r="B179" s="72">
        <v>0</v>
      </c>
      <c r="C179" s="72">
        <v>0</v>
      </c>
      <c r="D179" s="72">
        <v>0</v>
      </c>
    </row>
    <row r="180" spans="1:4">
      <c r="A180" s="99" t="s">
        <v>184</v>
      </c>
      <c r="B180" s="72">
        <v>0</v>
      </c>
      <c r="C180" s="72">
        <v>0</v>
      </c>
      <c r="D180" s="72" t="s">
        <v>277</v>
      </c>
    </row>
    <row r="181" spans="1:4">
      <c r="A181" s="65" t="s">
        <v>185</v>
      </c>
      <c r="B181" s="105"/>
      <c r="C181" s="105">
        <f>SUM(C182:C183)</f>
        <v>286.27</v>
      </c>
      <c r="D181" s="70"/>
    </row>
    <row r="182" spans="1:4">
      <c r="A182" s="99" t="s">
        <v>186</v>
      </c>
      <c r="B182" s="72">
        <v>0</v>
      </c>
      <c r="C182" s="72">
        <v>0</v>
      </c>
      <c r="D182" s="72">
        <v>0</v>
      </c>
    </row>
    <row r="183" spans="1:4">
      <c r="A183" s="59" t="s">
        <v>187</v>
      </c>
      <c r="B183" s="72" t="s">
        <v>319</v>
      </c>
      <c r="C183" s="108">
        <v>286.27</v>
      </c>
      <c r="D183" s="108">
        <v>0.7</v>
      </c>
    </row>
    <row r="184" spans="1:4">
      <c r="A184" s="99" t="s">
        <v>188</v>
      </c>
      <c r="B184" s="67">
        <v>2217240</v>
      </c>
      <c r="C184" s="67">
        <f>C12*3600</f>
        <v>2331972</v>
      </c>
      <c r="D184" s="67">
        <v>2127096</v>
      </c>
    </row>
    <row r="185" spans="1:4">
      <c r="A185" s="99" t="s">
        <v>189</v>
      </c>
      <c r="B185" s="110">
        <v>5.4744637477223933E-4</v>
      </c>
      <c r="C185" s="110">
        <f>B175/C184</f>
        <v>2.4502867101320258E-4</v>
      </c>
      <c r="D185" s="110">
        <v>2.6350000000000001E-4</v>
      </c>
    </row>
    <row r="186" spans="1:4" ht="14.45" customHeight="1">
      <c r="A186" s="440" t="s">
        <v>320</v>
      </c>
      <c r="B186" s="440"/>
      <c r="C186" s="440"/>
      <c r="D186" s="440"/>
    </row>
    <row r="187" spans="1:4">
      <c r="A187" s="65" t="s">
        <v>300</v>
      </c>
      <c r="B187" s="111"/>
      <c r="C187" s="111"/>
      <c r="D187" s="111"/>
    </row>
    <row r="188" spans="1:4">
      <c r="A188" s="92" t="s">
        <v>191</v>
      </c>
      <c r="B188" s="93">
        <v>0</v>
      </c>
      <c r="C188" s="93">
        <v>0</v>
      </c>
      <c r="D188" s="93">
        <v>0</v>
      </c>
    </row>
    <row r="189" spans="1:4">
      <c r="A189" s="92" t="s">
        <v>192</v>
      </c>
      <c r="B189" s="93">
        <v>1676.5</v>
      </c>
      <c r="C189" s="93">
        <v>1676.5</v>
      </c>
      <c r="D189" s="93">
        <v>1676.6</v>
      </c>
    </row>
    <row r="190" spans="1:4">
      <c r="A190" s="92" t="s">
        <v>193</v>
      </c>
      <c r="B190" s="93">
        <v>0</v>
      </c>
      <c r="C190" s="93">
        <v>0</v>
      </c>
      <c r="D190" s="93">
        <v>0</v>
      </c>
    </row>
    <row r="191" spans="1:4">
      <c r="A191" s="92" t="s">
        <v>194</v>
      </c>
      <c r="B191" s="93">
        <v>10.8</v>
      </c>
      <c r="C191" s="93">
        <v>10.8</v>
      </c>
      <c r="D191" s="93" t="s">
        <v>277</v>
      </c>
    </row>
    <row r="192" spans="1:4">
      <c r="A192" s="88" t="s">
        <v>301</v>
      </c>
      <c r="B192" s="113">
        <f>SUM(B188:B191)</f>
        <v>1687.3</v>
      </c>
      <c r="C192" s="113">
        <f>SUM(C188:C191)</f>
        <v>1687.3</v>
      </c>
      <c r="D192" s="113">
        <f>SUM(D188:D191)</f>
        <v>1676.6</v>
      </c>
    </row>
    <row r="193" spans="1:4">
      <c r="A193" s="92" t="s">
        <v>196</v>
      </c>
      <c r="B193" s="193">
        <v>0.47</v>
      </c>
      <c r="C193" s="202">
        <v>0.47</v>
      </c>
      <c r="D193" s="193">
        <v>72.900000000000006</v>
      </c>
    </row>
    <row r="194" spans="1:4" ht="34.35" customHeight="1">
      <c r="A194" s="439" t="s">
        <v>321</v>
      </c>
      <c r="B194" s="439"/>
      <c r="C194" s="439"/>
      <c r="D194" s="439"/>
    </row>
    <row r="195" spans="1:4">
      <c r="A195" s="153" t="s">
        <v>198</v>
      </c>
      <c r="B195" s="118"/>
      <c r="C195" s="118"/>
      <c r="D195" s="118"/>
    </row>
    <row r="196" spans="1:4">
      <c r="A196" s="88" t="s">
        <v>199</v>
      </c>
      <c r="B196" s="89"/>
      <c r="C196" s="89"/>
      <c r="D196" s="90"/>
    </row>
    <row r="197" spans="1:4">
      <c r="A197" s="99" t="s">
        <v>200</v>
      </c>
      <c r="B197" s="67">
        <v>0</v>
      </c>
      <c r="C197" s="67">
        <v>0</v>
      </c>
      <c r="D197" s="67">
        <v>0</v>
      </c>
    </row>
    <row r="198" spans="1:4" ht="24.6">
      <c r="A198" s="99" t="s">
        <v>201</v>
      </c>
      <c r="B198" s="67">
        <v>0</v>
      </c>
      <c r="C198" s="67">
        <v>0</v>
      </c>
      <c r="D198" s="67">
        <v>0</v>
      </c>
    </row>
    <row r="199" spans="1:4">
      <c r="A199" s="99" t="s">
        <v>202</v>
      </c>
      <c r="B199" s="67">
        <v>0</v>
      </c>
      <c r="C199" s="67">
        <v>0</v>
      </c>
      <c r="D199" s="67">
        <v>0</v>
      </c>
    </row>
    <row r="200" spans="1:4">
      <c r="A200" s="88" t="s">
        <v>203</v>
      </c>
      <c r="C200" s="89"/>
      <c r="D200" s="89"/>
    </row>
    <row r="201" spans="1:4">
      <c r="A201" s="99" t="s">
        <v>204</v>
      </c>
      <c r="B201" s="67">
        <v>0</v>
      </c>
      <c r="C201" s="67">
        <v>0</v>
      </c>
      <c r="D201" s="67">
        <v>0</v>
      </c>
    </row>
    <row r="202" spans="1:4">
      <c r="A202" s="92" t="s">
        <v>205</v>
      </c>
      <c r="B202" s="94">
        <v>0</v>
      </c>
      <c r="C202" s="94">
        <v>0</v>
      </c>
      <c r="D202" s="94">
        <v>0</v>
      </c>
    </row>
    <row r="203" spans="1:4">
      <c r="A203" s="99" t="s">
        <v>206</v>
      </c>
      <c r="B203" s="67">
        <v>0</v>
      </c>
      <c r="C203" s="67">
        <v>0</v>
      </c>
      <c r="D203" s="67">
        <v>0</v>
      </c>
    </row>
    <row r="204" spans="1:4">
      <c r="A204" s="99" t="s">
        <v>207</v>
      </c>
      <c r="B204" s="67">
        <v>0</v>
      </c>
      <c r="C204" s="67">
        <v>0</v>
      </c>
      <c r="D204" s="67">
        <v>0</v>
      </c>
    </row>
    <row r="205" spans="1:4">
      <c r="A205" s="99" t="s">
        <v>205</v>
      </c>
      <c r="B205" s="67">
        <v>0</v>
      </c>
      <c r="C205" s="67">
        <v>0</v>
      </c>
      <c r="D205" s="67">
        <v>0</v>
      </c>
    </row>
    <row r="206" spans="1:4">
      <c r="A206" s="99" t="s">
        <v>208</v>
      </c>
      <c r="B206" s="67">
        <f>19930/1000</f>
        <v>19.93</v>
      </c>
      <c r="C206" s="67">
        <v>0</v>
      </c>
      <c r="D206" s="67">
        <v>0</v>
      </c>
    </row>
    <row r="207" spans="1:4">
      <c r="A207" s="4" t="s">
        <v>322</v>
      </c>
      <c r="B207" s="122">
        <v>2025</v>
      </c>
      <c r="C207" s="122" t="s">
        <v>210</v>
      </c>
      <c r="D207" s="122" t="s">
        <v>211</v>
      </c>
    </row>
    <row r="208" spans="1:4">
      <c r="A208" s="92" t="s">
        <v>212</v>
      </c>
      <c r="B208" s="120">
        <v>1736120</v>
      </c>
      <c r="C208" s="120">
        <v>1797950</v>
      </c>
      <c r="D208" s="120">
        <v>1698000</v>
      </c>
    </row>
    <row r="209" spans="1:13" ht="25.5" customHeight="1">
      <c r="A209" s="427" t="s">
        <v>213</v>
      </c>
      <c r="B209" s="427"/>
      <c r="C209" s="427"/>
      <c r="D209" s="427"/>
    </row>
    <row r="210" spans="1:13">
      <c r="A210" s="99" t="s">
        <v>214</v>
      </c>
      <c r="B210" s="67">
        <v>0</v>
      </c>
      <c r="C210" s="67">
        <v>0</v>
      </c>
      <c r="D210" s="67">
        <v>0</v>
      </c>
    </row>
    <row r="211" spans="1:13">
      <c r="A211" s="99" t="s">
        <v>215</v>
      </c>
      <c r="B211" s="68">
        <v>0</v>
      </c>
      <c r="C211" s="68">
        <v>0</v>
      </c>
      <c r="D211" s="68">
        <v>0</v>
      </c>
    </row>
    <row r="212" spans="1:13">
      <c r="A212" s="59" t="s">
        <v>303</v>
      </c>
      <c r="B212" s="67">
        <v>0</v>
      </c>
      <c r="C212" s="67">
        <v>0</v>
      </c>
      <c r="D212" s="67">
        <v>0</v>
      </c>
    </row>
    <row r="213" spans="1:13">
      <c r="A213" s="99" t="s">
        <v>304</v>
      </c>
      <c r="B213" s="67">
        <v>0</v>
      </c>
      <c r="C213" s="67">
        <v>0</v>
      </c>
      <c r="D213" s="67">
        <v>0</v>
      </c>
    </row>
    <row r="214" spans="1:13">
      <c r="A214" s="99" t="s">
        <v>219</v>
      </c>
      <c r="B214" s="67">
        <v>0</v>
      </c>
      <c r="C214" s="67">
        <v>0</v>
      </c>
      <c r="D214" s="67">
        <v>0</v>
      </c>
    </row>
    <row r="215" spans="1:13" ht="24.6">
      <c r="A215" s="99" t="s">
        <v>220</v>
      </c>
      <c r="B215" s="67">
        <v>0</v>
      </c>
      <c r="C215" s="67">
        <v>0</v>
      </c>
      <c r="D215" s="67">
        <v>0</v>
      </c>
    </row>
    <row r="216" spans="1:13" ht="24.6">
      <c r="A216" s="99" t="s">
        <v>221</v>
      </c>
      <c r="B216" s="67">
        <v>0</v>
      </c>
      <c r="C216" s="67">
        <v>0</v>
      </c>
      <c r="D216" s="67">
        <v>0</v>
      </c>
    </row>
    <row r="217" spans="1:13">
      <c r="A217" s="99" t="s">
        <v>222</v>
      </c>
      <c r="B217" s="67">
        <v>0</v>
      </c>
      <c r="C217" s="67">
        <v>0</v>
      </c>
      <c r="D217" s="67">
        <v>0</v>
      </c>
    </row>
    <row r="218" spans="1:13">
      <c r="A218" s="99"/>
      <c r="B218" s="67"/>
      <c r="C218" s="67"/>
      <c r="D218" s="67"/>
    </row>
    <row r="219" spans="1:13">
      <c r="A219" s="4" t="s">
        <v>223</v>
      </c>
      <c r="B219" s="121"/>
      <c r="C219" s="417">
        <v>2025</v>
      </c>
      <c r="D219" s="417"/>
      <c r="E219" s="417"/>
      <c r="F219" s="410">
        <v>2024</v>
      </c>
      <c r="G219" s="410"/>
      <c r="H219" s="410"/>
      <c r="I219" s="410"/>
      <c r="J219" s="410">
        <v>2023</v>
      </c>
      <c r="K219" s="410"/>
      <c r="L219" s="410"/>
      <c r="M219" s="410"/>
    </row>
    <row r="220" spans="1:13" ht="24.6">
      <c r="A220" s="123" t="s">
        <v>323</v>
      </c>
      <c r="B220" s="124" t="s">
        <v>226</v>
      </c>
      <c r="C220" s="124" t="s">
        <v>227</v>
      </c>
      <c r="D220" s="124" t="s">
        <v>228</v>
      </c>
      <c r="E220" s="125" t="s">
        <v>229</v>
      </c>
      <c r="F220" s="204" t="s">
        <v>226</v>
      </c>
      <c r="G220" s="204" t="s">
        <v>227</v>
      </c>
      <c r="H220" s="204" t="s">
        <v>228</v>
      </c>
      <c r="I220" s="205" t="s">
        <v>229</v>
      </c>
      <c r="J220" s="204" t="s">
        <v>226</v>
      </c>
      <c r="K220" s="204" t="s">
        <v>227</v>
      </c>
      <c r="L220" s="204" t="s">
        <v>228</v>
      </c>
      <c r="M220" s="205" t="s">
        <v>229</v>
      </c>
    </row>
    <row r="221" spans="1:13">
      <c r="A221" s="128" t="s">
        <v>230</v>
      </c>
      <c r="B221" s="129">
        <v>0</v>
      </c>
      <c r="C221" s="129">
        <v>2</v>
      </c>
      <c r="D221" s="129">
        <v>0</v>
      </c>
      <c r="E221" s="130">
        <f>SUM(B221:D221)</f>
        <v>2</v>
      </c>
      <c r="F221" s="129">
        <v>0</v>
      </c>
      <c r="G221" s="129">
        <v>2</v>
      </c>
      <c r="H221" s="129">
        <v>0</v>
      </c>
      <c r="I221" s="130">
        <f t="shared" ref="I221:I233" si="0">SUM(F221:H221)</f>
        <v>2</v>
      </c>
      <c r="J221" s="129">
        <v>0</v>
      </c>
      <c r="K221" s="129">
        <v>0</v>
      </c>
      <c r="L221" s="129">
        <v>0</v>
      </c>
      <c r="M221" s="130">
        <f>SUM(J221:L221)</f>
        <v>0</v>
      </c>
    </row>
    <row r="222" spans="1:13">
      <c r="A222" s="99" t="s">
        <v>231</v>
      </c>
      <c r="B222" s="67">
        <v>0</v>
      </c>
      <c r="C222" s="67">
        <v>0</v>
      </c>
      <c r="D222" s="67">
        <v>0</v>
      </c>
      <c r="E222" s="206">
        <f>SUM(B222:D222)</f>
        <v>0</v>
      </c>
      <c r="F222" s="67">
        <v>0</v>
      </c>
      <c r="G222" s="67">
        <v>0</v>
      </c>
      <c r="H222" s="67">
        <v>0</v>
      </c>
      <c r="I222" s="206">
        <f t="shared" si="0"/>
        <v>0</v>
      </c>
      <c r="J222" s="67">
        <v>0</v>
      </c>
      <c r="K222" s="67">
        <v>0</v>
      </c>
      <c r="L222" s="67">
        <v>0</v>
      </c>
      <c r="M222" s="206">
        <f t="shared" ref="M222" si="1">SUM(J222:L222)</f>
        <v>0</v>
      </c>
    </row>
    <row r="223" spans="1:13">
      <c r="A223" s="65" t="s">
        <v>232</v>
      </c>
      <c r="B223" s="143">
        <f>SUM(B224:B227)</f>
        <v>0</v>
      </c>
      <c r="C223" s="143">
        <f>SUM(C224:C227)</f>
        <v>0</v>
      </c>
      <c r="D223" s="143">
        <f>SUM(D224:D227)</f>
        <v>0</v>
      </c>
      <c r="E223" s="207">
        <f>SUM(B223:D223)</f>
        <v>0</v>
      </c>
      <c r="F223" s="143">
        <f>SUM(F224:F227)</f>
        <v>0</v>
      </c>
      <c r="G223" s="143">
        <f>SUM(G224:G227)</f>
        <v>0</v>
      </c>
      <c r="H223" s="143">
        <f>SUM(H224:H227)</f>
        <v>0</v>
      </c>
      <c r="I223" s="207">
        <f t="shared" si="0"/>
        <v>0</v>
      </c>
      <c r="J223" s="143">
        <f>SUM(J224:J227)</f>
        <v>0</v>
      </c>
      <c r="K223" s="143">
        <f>SUM(K224:K227)</f>
        <v>0</v>
      </c>
      <c r="L223" s="143">
        <f>SUM(L224:L227)</f>
        <v>0</v>
      </c>
      <c r="M223" s="207">
        <f>SUM(J223:L223)</f>
        <v>0</v>
      </c>
    </row>
    <row r="224" spans="1:13">
      <c r="A224" s="99" t="s">
        <v>233</v>
      </c>
      <c r="B224" s="72">
        <v>0</v>
      </c>
      <c r="C224" s="72">
        <v>0</v>
      </c>
      <c r="D224" s="72">
        <v>0</v>
      </c>
      <c r="E224" s="208">
        <f t="shared" ref="E224:E233" si="2">SUM(B224:D224)</f>
        <v>0</v>
      </c>
      <c r="F224" s="72">
        <v>0</v>
      </c>
      <c r="G224" s="72">
        <v>0</v>
      </c>
      <c r="H224" s="72">
        <v>0</v>
      </c>
      <c r="I224" s="208">
        <f t="shared" si="0"/>
        <v>0</v>
      </c>
      <c r="J224" s="72">
        <v>0</v>
      </c>
      <c r="K224" s="72">
        <v>0</v>
      </c>
      <c r="L224" s="72">
        <v>0</v>
      </c>
      <c r="M224" s="208">
        <f t="shared" ref="M224:M233" si="3">SUM(J224:L224)</f>
        <v>0</v>
      </c>
    </row>
    <row r="225" spans="1:13">
      <c r="A225" s="99" t="s">
        <v>234</v>
      </c>
      <c r="B225" s="72">
        <v>0</v>
      </c>
      <c r="C225" s="72">
        <v>0</v>
      </c>
      <c r="D225" s="72">
        <v>0</v>
      </c>
      <c r="E225" s="208">
        <f t="shared" si="2"/>
        <v>0</v>
      </c>
      <c r="F225" s="72">
        <v>0</v>
      </c>
      <c r="G225" s="72">
        <v>0</v>
      </c>
      <c r="H225" s="72">
        <v>0</v>
      </c>
      <c r="I225" s="208">
        <f t="shared" si="0"/>
        <v>0</v>
      </c>
      <c r="J225" s="72">
        <v>0</v>
      </c>
      <c r="K225" s="72">
        <v>0</v>
      </c>
      <c r="L225" s="72">
        <v>0</v>
      </c>
      <c r="M225" s="208">
        <f t="shared" si="3"/>
        <v>0</v>
      </c>
    </row>
    <row r="226" spans="1:13" ht="15" customHeight="1">
      <c r="A226" s="59" t="s">
        <v>235</v>
      </c>
      <c r="B226" s="108">
        <v>0</v>
      </c>
      <c r="C226" s="108">
        <v>0</v>
      </c>
      <c r="D226" s="108">
        <v>0</v>
      </c>
      <c r="E226" s="209">
        <f t="shared" si="2"/>
        <v>0</v>
      </c>
      <c r="F226" s="108">
        <v>0</v>
      </c>
      <c r="G226" s="108">
        <v>0</v>
      </c>
      <c r="H226" s="108">
        <v>0</v>
      </c>
      <c r="I226" s="209">
        <f t="shared" si="0"/>
        <v>0</v>
      </c>
      <c r="J226" s="108">
        <v>0</v>
      </c>
      <c r="K226" s="108">
        <v>0</v>
      </c>
      <c r="L226" s="108">
        <v>0</v>
      </c>
      <c r="M226" s="209">
        <f t="shared" si="3"/>
        <v>0</v>
      </c>
    </row>
    <row r="227" spans="1:13">
      <c r="A227" s="99" t="s">
        <v>236</v>
      </c>
      <c r="B227" s="72">
        <v>0</v>
      </c>
      <c r="C227" s="72">
        <v>0</v>
      </c>
      <c r="D227" s="72">
        <v>0</v>
      </c>
      <c r="E227" s="208">
        <f t="shared" si="2"/>
        <v>0</v>
      </c>
      <c r="F227" s="72">
        <v>0</v>
      </c>
      <c r="G227" s="72">
        <v>0</v>
      </c>
      <c r="H227" s="72">
        <v>0</v>
      </c>
      <c r="I227" s="208">
        <f t="shared" si="0"/>
        <v>0</v>
      </c>
      <c r="J227" s="72">
        <v>0</v>
      </c>
      <c r="K227" s="72">
        <v>0</v>
      </c>
      <c r="L227" s="72">
        <v>0</v>
      </c>
      <c r="M227" s="208">
        <f t="shared" si="3"/>
        <v>0</v>
      </c>
    </row>
    <row r="228" spans="1:13">
      <c r="A228" s="65" t="s">
        <v>237</v>
      </c>
      <c r="B228" s="143">
        <f>SUM(B229:B233)</f>
        <v>0</v>
      </c>
      <c r="C228" s="143">
        <f>SUM(C229:C233)</f>
        <v>0</v>
      </c>
      <c r="D228" s="143">
        <f>SUM(D229:D233)</f>
        <v>0</v>
      </c>
      <c r="E228" s="208">
        <f>SUM(B228:D228)</f>
        <v>0</v>
      </c>
      <c r="F228" s="143">
        <f>SUM(F229:F233)</f>
        <v>0</v>
      </c>
      <c r="G228" s="143">
        <f>SUM(G229:G233)</f>
        <v>0</v>
      </c>
      <c r="H228" s="143">
        <f>SUM(H229:H233)</f>
        <v>0</v>
      </c>
      <c r="I228" s="208">
        <f t="shared" si="0"/>
        <v>0</v>
      </c>
      <c r="J228" s="143">
        <f>SUM(J229:J233)</f>
        <v>0</v>
      </c>
      <c r="K228" s="143">
        <f>SUM(K229:K233)</f>
        <v>0</v>
      </c>
      <c r="L228" s="143">
        <f>SUM(L229:L233)</f>
        <v>0</v>
      </c>
      <c r="M228" s="208">
        <f t="shared" si="3"/>
        <v>0</v>
      </c>
    </row>
    <row r="229" spans="1:13">
      <c r="A229" s="99" t="s">
        <v>238</v>
      </c>
      <c r="B229" s="72">
        <v>0</v>
      </c>
      <c r="C229" s="72">
        <v>0</v>
      </c>
      <c r="D229" s="72">
        <v>0</v>
      </c>
      <c r="E229" s="208">
        <f t="shared" si="2"/>
        <v>0</v>
      </c>
      <c r="F229" s="72">
        <v>0</v>
      </c>
      <c r="G229" s="72">
        <v>0</v>
      </c>
      <c r="H229" s="72">
        <v>0</v>
      </c>
      <c r="I229" s="208">
        <f t="shared" si="0"/>
        <v>0</v>
      </c>
      <c r="J229" s="72">
        <v>0</v>
      </c>
      <c r="K229" s="72">
        <v>0</v>
      </c>
      <c r="L229" s="72">
        <v>0</v>
      </c>
      <c r="M229" s="208">
        <f t="shared" si="3"/>
        <v>0</v>
      </c>
    </row>
    <row r="230" spans="1:13">
      <c r="A230" s="99" t="s">
        <v>239</v>
      </c>
      <c r="B230" s="72">
        <v>0</v>
      </c>
      <c r="C230" s="72">
        <v>0</v>
      </c>
      <c r="D230" s="72">
        <v>0</v>
      </c>
      <c r="E230" s="208">
        <f t="shared" si="2"/>
        <v>0</v>
      </c>
      <c r="F230" s="72">
        <v>0</v>
      </c>
      <c r="G230" s="72">
        <v>0</v>
      </c>
      <c r="H230" s="72">
        <v>0</v>
      </c>
      <c r="I230" s="208">
        <f t="shared" si="0"/>
        <v>0</v>
      </c>
      <c r="J230" s="72">
        <v>0</v>
      </c>
      <c r="K230" s="72">
        <v>0</v>
      </c>
      <c r="L230" s="72">
        <v>0</v>
      </c>
      <c r="M230" s="208">
        <f t="shared" si="3"/>
        <v>0</v>
      </c>
    </row>
    <row r="231" spans="1:13">
      <c r="A231" s="59" t="s">
        <v>240</v>
      </c>
      <c r="B231" s="108">
        <v>0</v>
      </c>
      <c r="C231" s="108">
        <v>0</v>
      </c>
      <c r="D231" s="108">
        <v>0</v>
      </c>
      <c r="E231" s="209">
        <f t="shared" si="2"/>
        <v>0</v>
      </c>
      <c r="F231" s="108">
        <v>0</v>
      </c>
      <c r="G231" s="108">
        <v>0</v>
      </c>
      <c r="H231" s="108">
        <v>0</v>
      </c>
      <c r="I231" s="209">
        <f t="shared" si="0"/>
        <v>0</v>
      </c>
      <c r="J231" s="108">
        <v>0</v>
      </c>
      <c r="K231" s="108">
        <v>0</v>
      </c>
      <c r="L231" s="108">
        <v>0</v>
      </c>
      <c r="M231" s="209">
        <f t="shared" si="3"/>
        <v>0</v>
      </c>
    </row>
    <row r="232" spans="1:13">
      <c r="A232" s="99" t="s">
        <v>241</v>
      </c>
      <c r="B232" s="72">
        <v>0</v>
      </c>
      <c r="C232" s="72">
        <v>0</v>
      </c>
      <c r="D232" s="72">
        <v>0</v>
      </c>
      <c r="E232" s="208">
        <f t="shared" si="2"/>
        <v>0</v>
      </c>
      <c r="F232" s="72">
        <v>0</v>
      </c>
      <c r="G232" s="72">
        <v>0</v>
      </c>
      <c r="H232" s="72">
        <v>0</v>
      </c>
      <c r="I232" s="208">
        <f t="shared" si="0"/>
        <v>0</v>
      </c>
      <c r="J232" s="72">
        <v>0</v>
      </c>
      <c r="K232" s="72">
        <v>0</v>
      </c>
      <c r="L232" s="72">
        <v>0</v>
      </c>
      <c r="M232" s="208">
        <f t="shared" si="3"/>
        <v>0</v>
      </c>
    </row>
    <row r="233" spans="1:13">
      <c r="A233" s="99" t="s">
        <v>236</v>
      </c>
      <c r="B233" s="72">
        <v>0</v>
      </c>
      <c r="C233" s="72">
        <v>0</v>
      </c>
      <c r="D233" s="72">
        <v>0</v>
      </c>
      <c r="E233" s="208">
        <f t="shared" si="2"/>
        <v>0</v>
      </c>
      <c r="F233" s="72">
        <v>0</v>
      </c>
      <c r="G233" s="72">
        <v>0</v>
      </c>
      <c r="H233" s="72">
        <v>0</v>
      </c>
      <c r="I233" s="208">
        <f t="shared" si="0"/>
        <v>0</v>
      </c>
      <c r="J233" s="72">
        <v>0</v>
      </c>
      <c r="K233" s="72">
        <v>0</v>
      </c>
      <c r="L233" s="72">
        <v>0</v>
      </c>
      <c r="M233" s="208">
        <f t="shared" si="3"/>
        <v>0</v>
      </c>
    </row>
    <row r="234" spans="1:13">
      <c r="A234" s="65" t="s">
        <v>242</v>
      </c>
      <c r="B234" s="143"/>
      <c r="C234" s="143"/>
      <c r="D234" s="143"/>
      <c r="E234" s="207">
        <f>E228+E223</f>
        <v>0</v>
      </c>
      <c r="F234" s="143"/>
      <c r="G234" s="143"/>
      <c r="H234" s="143"/>
      <c r="I234" s="207">
        <f>I228+I223</f>
        <v>0</v>
      </c>
      <c r="J234" s="143"/>
      <c r="K234" s="143"/>
      <c r="L234" s="143"/>
      <c r="M234" s="207">
        <f>M228+M223</f>
        <v>0</v>
      </c>
    </row>
    <row r="235" spans="1:13">
      <c r="A235" s="137" t="s">
        <v>324</v>
      </c>
      <c r="B235" s="138"/>
      <c r="C235" s="138"/>
      <c r="D235" s="138"/>
      <c r="E235" s="139"/>
      <c r="F235" s="139"/>
      <c r="G235" s="139"/>
      <c r="H235" s="139"/>
      <c r="I235" s="139"/>
      <c r="J235" s="139"/>
      <c r="K235" s="139"/>
      <c r="L235" s="139"/>
      <c r="M235" s="139"/>
    </row>
    <row r="237" spans="1:13" ht="24">
      <c r="A237" s="4" t="s">
        <v>244</v>
      </c>
      <c r="B237" s="122" t="s">
        <v>307</v>
      </c>
      <c r="C237" s="122" t="s">
        <v>246</v>
      </c>
      <c r="D237" s="122" t="s">
        <v>308</v>
      </c>
      <c r="E237" s="122" t="s">
        <v>248</v>
      </c>
      <c r="F237" s="122" t="s">
        <v>249</v>
      </c>
      <c r="G237" s="122" t="s">
        <v>250</v>
      </c>
    </row>
    <row r="238" spans="1:13" ht="24.6">
      <c r="A238" s="123" t="s">
        <v>251</v>
      </c>
      <c r="B238" s="124"/>
      <c r="C238" s="124"/>
      <c r="D238" s="124"/>
      <c r="E238" s="124"/>
      <c r="F238" s="124"/>
      <c r="G238" s="124"/>
    </row>
    <row r="239" spans="1:13">
      <c r="A239" s="92" t="s">
        <v>252</v>
      </c>
      <c r="B239" s="102">
        <v>0</v>
      </c>
      <c r="C239" s="140">
        <f t="shared" ref="C239:C250" si="4">IFERROR(B239/$D$251,0)</f>
        <v>0</v>
      </c>
      <c r="D239" s="102">
        <v>0</v>
      </c>
      <c r="E239" s="140">
        <f t="shared" ref="E239:E250" si="5">IFERROR(D239/$D$251,0)</f>
        <v>0</v>
      </c>
      <c r="F239" s="102">
        <v>0</v>
      </c>
      <c r="G239" s="140">
        <f>F239/$F$251</f>
        <v>0</v>
      </c>
    </row>
    <row r="240" spans="1:13">
      <c r="A240" s="59" t="s">
        <v>253</v>
      </c>
      <c r="B240" s="108">
        <v>0</v>
      </c>
      <c r="C240" s="141">
        <f t="shared" si="4"/>
        <v>0</v>
      </c>
      <c r="D240" s="108">
        <v>0</v>
      </c>
      <c r="E240" s="141">
        <f t="shared" si="5"/>
        <v>0</v>
      </c>
      <c r="F240" s="108">
        <v>0</v>
      </c>
      <c r="G240" s="141">
        <f>F240/$F$251</f>
        <v>0</v>
      </c>
    </row>
    <row r="241" spans="1:7">
      <c r="A241" s="99" t="s">
        <v>254</v>
      </c>
      <c r="B241" s="72">
        <v>0</v>
      </c>
      <c r="C241" s="142">
        <f t="shared" si="4"/>
        <v>0</v>
      </c>
      <c r="D241" s="72">
        <v>0</v>
      </c>
      <c r="E241" s="142">
        <f t="shared" si="5"/>
        <v>0</v>
      </c>
      <c r="F241" s="72">
        <v>71.22</v>
      </c>
      <c r="G241" s="142">
        <v>91</v>
      </c>
    </row>
    <row r="242" spans="1:7">
      <c r="A242" s="99" t="s">
        <v>255</v>
      </c>
      <c r="B242" s="72">
        <v>0</v>
      </c>
      <c r="C242" s="142">
        <f t="shared" si="4"/>
        <v>0</v>
      </c>
      <c r="D242" s="72">
        <v>0</v>
      </c>
      <c r="E242" s="142">
        <f t="shared" si="5"/>
        <v>0</v>
      </c>
      <c r="F242" s="72">
        <v>0</v>
      </c>
      <c r="G242" s="142">
        <f t="shared" ref="G242:G249" si="6">F242/$F$251</f>
        <v>0</v>
      </c>
    </row>
    <row r="243" spans="1:7">
      <c r="A243" s="59" t="s">
        <v>256</v>
      </c>
      <c r="B243" s="108">
        <v>0</v>
      </c>
      <c r="C243" s="141">
        <f t="shared" si="4"/>
        <v>0</v>
      </c>
      <c r="D243" s="108">
        <v>0</v>
      </c>
      <c r="E243" s="141">
        <f t="shared" si="5"/>
        <v>0</v>
      </c>
      <c r="F243" s="108">
        <v>0</v>
      </c>
      <c r="G243" s="141">
        <f t="shared" si="6"/>
        <v>0</v>
      </c>
    </row>
    <row r="244" spans="1:7">
      <c r="A244" s="99" t="s">
        <v>257</v>
      </c>
      <c r="B244" s="72">
        <v>0</v>
      </c>
      <c r="C244" s="142">
        <f t="shared" si="4"/>
        <v>0</v>
      </c>
      <c r="D244" s="72">
        <v>0</v>
      </c>
      <c r="E244" s="142">
        <f t="shared" si="5"/>
        <v>0</v>
      </c>
      <c r="F244" s="72">
        <v>0</v>
      </c>
      <c r="G244" s="142">
        <f t="shared" si="6"/>
        <v>0</v>
      </c>
    </row>
    <row r="245" spans="1:7">
      <c r="A245" s="99" t="s">
        <v>258</v>
      </c>
      <c r="B245" s="72">
        <v>0</v>
      </c>
      <c r="C245" s="142">
        <f t="shared" si="4"/>
        <v>0</v>
      </c>
      <c r="D245" s="72">
        <v>0</v>
      </c>
      <c r="E245" s="142">
        <f t="shared" si="5"/>
        <v>0</v>
      </c>
      <c r="F245" s="72">
        <v>0</v>
      </c>
      <c r="G245" s="142">
        <f t="shared" si="6"/>
        <v>0</v>
      </c>
    </row>
    <row r="246" spans="1:7">
      <c r="A246" s="99" t="s">
        <v>259</v>
      </c>
      <c r="B246" s="72">
        <v>0</v>
      </c>
      <c r="C246" s="142">
        <f t="shared" si="4"/>
        <v>0</v>
      </c>
      <c r="D246" s="72">
        <v>0</v>
      </c>
      <c r="E246" s="142">
        <f t="shared" si="5"/>
        <v>0</v>
      </c>
      <c r="F246" s="72">
        <v>0</v>
      </c>
      <c r="G246" s="142">
        <f t="shared" si="6"/>
        <v>0</v>
      </c>
    </row>
    <row r="247" spans="1:7">
      <c r="A247" s="99" t="s">
        <v>260</v>
      </c>
      <c r="B247" s="72">
        <v>0</v>
      </c>
      <c r="C247" s="142">
        <f t="shared" si="4"/>
        <v>0</v>
      </c>
      <c r="D247" s="72">
        <v>0</v>
      </c>
      <c r="E247" s="142">
        <f t="shared" si="5"/>
        <v>0</v>
      </c>
      <c r="F247" s="72">
        <v>0</v>
      </c>
      <c r="G247" s="142">
        <f t="shared" si="6"/>
        <v>0</v>
      </c>
    </row>
    <row r="248" spans="1:7">
      <c r="A248" s="59" t="s">
        <v>261</v>
      </c>
      <c r="B248" s="108">
        <v>0</v>
      </c>
      <c r="C248" s="141">
        <f t="shared" si="4"/>
        <v>0</v>
      </c>
      <c r="D248" s="108">
        <v>0</v>
      </c>
      <c r="E248" s="141">
        <f t="shared" si="5"/>
        <v>0</v>
      </c>
      <c r="F248" s="108">
        <v>0</v>
      </c>
      <c r="G248" s="141">
        <f t="shared" si="6"/>
        <v>0</v>
      </c>
    </row>
    <row r="249" spans="1:7">
      <c r="A249" s="99" t="s">
        <v>262</v>
      </c>
      <c r="B249" s="72">
        <v>0</v>
      </c>
      <c r="C249" s="142">
        <f t="shared" si="4"/>
        <v>0</v>
      </c>
      <c r="D249" s="72">
        <v>0</v>
      </c>
      <c r="E249" s="142">
        <f t="shared" si="5"/>
        <v>0</v>
      </c>
      <c r="F249" s="72">
        <v>0</v>
      </c>
      <c r="G249" s="142">
        <f t="shared" si="6"/>
        <v>0</v>
      </c>
    </row>
    <row r="250" spans="1:7">
      <c r="A250" s="92" t="s">
        <v>263</v>
      </c>
      <c r="B250" s="102">
        <v>0</v>
      </c>
      <c r="C250" s="140">
        <f t="shared" si="4"/>
        <v>0</v>
      </c>
      <c r="D250" s="102">
        <v>0</v>
      </c>
      <c r="E250" s="140">
        <f t="shared" si="5"/>
        <v>0</v>
      </c>
      <c r="F250" s="102">
        <v>6.64</v>
      </c>
      <c r="G250" s="140">
        <v>9</v>
      </c>
    </row>
    <row r="251" spans="1:7">
      <c r="A251" s="65" t="s">
        <v>229</v>
      </c>
      <c r="B251" s="143">
        <f t="shared" ref="B251:C251" si="7">SUM(B239:B250)</f>
        <v>0</v>
      </c>
      <c r="C251" s="144">
        <f t="shared" si="7"/>
        <v>0</v>
      </c>
      <c r="D251" s="143">
        <f t="shared" ref="D251:F251" si="8">SUM(D239:D250)</f>
        <v>0</v>
      </c>
      <c r="E251" s="144">
        <f t="shared" si="8"/>
        <v>0</v>
      </c>
      <c r="F251" s="143">
        <f t="shared" si="8"/>
        <v>77.86</v>
      </c>
      <c r="G251" s="144">
        <f>SUM(G239:G250)</f>
        <v>100</v>
      </c>
    </row>
    <row r="252" spans="1:7">
      <c r="A252" s="210" t="s">
        <v>310</v>
      </c>
      <c r="B252" s="145"/>
      <c r="C252" s="145"/>
      <c r="D252" s="145"/>
      <c r="E252" s="145"/>
      <c r="F252" s="145"/>
      <c r="G252" s="145"/>
    </row>
  </sheetData>
  <sheetProtection algorithmName="SHA-512" hashValue="LeFLeAKZXv10WMdT3zb34Rdtjj+rN/5JckDabZUdjhZwWurLpT8Q6TUTM9aZf0fwr0U8MgdO/T/U6YuRldtqIw==" saltValue="CvvC55Wz+oj53iQe6KY8xA==" spinCount="100000" sheet="1" objects="1" scenarios="1"/>
  <mergeCells count="16">
    <mergeCell ref="A8:D8"/>
    <mergeCell ref="F2:J2"/>
    <mergeCell ref="T2:V2"/>
    <mergeCell ref="F219:I219"/>
    <mergeCell ref="J219:M219"/>
    <mergeCell ref="A10:D10"/>
    <mergeCell ref="A163:D163"/>
    <mergeCell ref="A152:D152"/>
    <mergeCell ref="A6:D6"/>
    <mergeCell ref="A7:D7"/>
    <mergeCell ref="A209:D209"/>
    <mergeCell ref="A169:D169"/>
    <mergeCell ref="A194:D194"/>
    <mergeCell ref="C219:E219"/>
    <mergeCell ref="A186:D186"/>
    <mergeCell ref="A173:D17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rowBreaks count="1" manualBreakCount="1">
    <brk id="173" max="21" man="1"/>
  </rowBreaks>
  <colBreaks count="1" manualBreakCount="1">
    <brk id="4" max="216" man="1"/>
  </colBreaks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76F5-3C4D-4D62-B708-122AE44A8F35}">
  <sheetPr>
    <tabColor theme="9" tint="0.79998168889431442"/>
  </sheetPr>
  <dimension ref="A1:X251"/>
  <sheetViews>
    <sheetView showGridLines="0" zoomScaleNormal="100" zoomScaleSheetLayoutView="130" workbookViewId="0">
      <pane ySplit="7" topLeftCell="A241" activePane="bottomLeft" state="frozen"/>
      <selection pane="bottomLeft" activeCell="I224" sqref="I224"/>
    </sheetView>
  </sheetViews>
  <sheetFormatPr defaultRowHeight="14.45"/>
  <cols>
    <col min="1" max="1" width="70.42578125" customWidth="1"/>
    <col min="2" max="5" width="13.42578125" customWidth="1"/>
    <col min="6" max="16" width="9" customWidth="1"/>
    <col min="18" max="18" width="54.42578125" customWidth="1"/>
    <col min="19" max="24" width="16.42578125" customWidth="1"/>
  </cols>
  <sheetData>
    <row r="1" spans="1:24"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3"/>
      <c r="S1" s="2"/>
      <c r="T1" s="2"/>
      <c r="U1" s="2"/>
      <c r="V1" s="2"/>
      <c r="W1" s="2"/>
      <c r="X1" s="2"/>
    </row>
    <row r="2" spans="1:24" ht="18.600000000000001">
      <c r="F2" s="409"/>
      <c r="G2" s="409"/>
      <c r="H2" s="409"/>
      <c r="R2" s="407"/>
      <c r="S2" s="407"/>
      <c r="T2" s="407"/>
    </row>
    <row r="6" spans="1:24" ht="23.45">
      <c r="A6" s="423" t="s">
        <v>325</v>
      </c>
      <c r="B6" s="424"/>
      <c r="C6" s="424"/>
      <c r="D6" s="424"/>
    </row>
    <row r="7" spans="1:24" ht="15" customHeight="1">
      <c r="A7" s="435"/>
      <c r="B7" s="436"/>
      <c r="C7" s="436"/>
      <c r="D7" s="436"/>
    </row>
    <row r="8" spans="1:24">
      <c r="A8" s="408" t="s">
        <v>326</v>
      </c>
      <c r="B8" s="408"/>
      <c r="C8" s="408"/>
      <c r="D8" s="408"/>
    </row>
    <row r="9" spans="1:24">
      <c r="A9" s="4" t="s">
        <v>9</v>
      </c>
      <c r="B9" s="122">
        <v>2025</v>
      </c>
      <c r="C9" s="122"/>
      <c r="D9" s="122"/>
    </row>
    <row r="10" spans="1:24">
      <c r="A10" s="422" t="s">
        <v>10</v>
      </c>
      <c r="B10" s="422"/>
      <c r="C10" s="422"/>
      <c r="D10" s="422"/>
    </row>
    <row r="11" spans="1:24">
      <c r="A11" s="5" t="s">
        <v>11</v>
      </c>
      <c r="B11" s="6">
        <v>593.26</v>
      </c>
      <c r="C11" s="6"/>
      <c r="D11" s="6"/>
    </row>
    <row r="12" spans="1:24">
      <c r="A12" s="7" t="s">
        <v>14</v>
      </c>
      <c r="B12" s="8">
        <v>820.58</v>
      </c>
      <c r="C12" s="9"/>
      <c r="D12" s="9"/>
    </row>
    <row r="13" spans="1:24">
      <c r="A13" s="7" t="s">
        <v>15</v>
      </c>
      <c r="B13" s="10">
        <v>336.7</v>
      </c>
      <c r="C13" s="10"/>
      <c r="D13" s="10"/>
    </row>
    <row r="14" spans="1:24">
      <c r="A14" s="11" t="s">
        <v>16</v>
      </c>
      <c r="B14" s="122">
        <v>2025</v>
      </c>
      <c r="C14" s="122">
        <v>2024</v>
      </c>
      <c r="D14" s="122"/>
    </row>
    <row r="15" spans="1:24">
      <c r="A15" s="12" t="s">
        <v>17</v>
      </c>
      <c r="B15" s="13"/>
      <c r="C15" s="13"/>
      <c r="D15" s="13"/>
    </row>
    <row r="16" spans="1:24" ht="14.85" customHeight="1">
      <c r="A16" s="7" t="s">
        <v>18</v>
      </c>
      <c r="B16" s="14">
        <v>129552</v>
      </c>
      <c r="C16" s="14">
        <v>17669</v>
      </c>
      <c r="D16" s="15"/>
    </row>
    <row r="17" spans="1:4">
      <c r="A17" s="7" t="s">
        <v>19</v>
      </c>
      <c r="B17" s="16">
        <v>0</v>
      </c>
      <c r="C17" s="16">
        <v>0</v>
      </c>
      <c r="D17" s="16"/>
    </row>
    <row r="18" spans="1:4">
      <c r="A18" s="7" t="s">
        <v>20</v>
      </c>
      <c r="B18" s="16">
        <v>0</v>
      </c>
      <c r="C18" s="16">
        <v>0</v>
      </c>
      <c r="D18" s="17"/>
    </row>
    <row r="19" spans="1:4">
      <c r="A19" s="7" t="s">
        <v>21</v>
      </c>
      <c r="B19" s="16">
        <v>0</v>
      </c>
      <c r="C19" s="16">
        <v>0</v>
      </c>
      <c r="D19" s="17"/>
    </row>
    <row r="20" spans="1:4">
      <c r="A20" s="7" t="s">
        <v>22</v>
      </c>
      <c r="B20" s="16">
        <v>0</v>
      </c>
      <c r="C20" s="16">
        <v>0</v>
      </c>
      <c r="D20" s="18"/>
    </row>
    <row r="21" spans="1:4">
      <c r="A21" s="12" t="s">
        <v>23</v>
      </c>
      <c r="B21" s="19">
        <v>-28581</v>
      </c>
      <c r="C21" s="19">
        <v>-3612</v>
      </c>
      <c r="D21" s="15"/>
    </row>
    <row r="22" spans="1:4">
      <c r="A22" s="7" t="s">
        <v>24</v>
      </c>
      <c r="B22" s="16">
        <v>-20689</v>
      </c>
      <c r="C22" s="16">
        <v>-3310</v>
      </c>
      <c r="D22" s="18"/>
    </row>
    <row r="23" spans="1:4">
      <c r="A23" s="7" t="s">
        <v>25</v>
      </c>
      <c r="B23" s="16">
        <v>0</v>
      </c>
      <c r="C23" s="16">
        <v>0</v>
      </c>
      <c r="D23" s="18"/>
    </row>
    <row r="24" spans="1:4">
      <c r="A24" s="7" t="s">
        <v>26</v>
      </c>
      <c r="B24" s="20">
        <v>0</v>
      </c>
      <c r="C24" s="20">
        <v>0</v>
      </c>
      <c r="D24" s="21"/>
    </row>
    <row r="25" spans="1:4">
      <c r="A25" s="7" t="s">
        <v>27</v>
      </c>
      <c r="B25" s="14">
        <v>-5207</v>
      </c>
      <c r="C25" s="14">
        <v>-37</v>
      </c>
      <c r="D25" s="22"/>
    </row>
    <row r="26" spans="1:4">
      <c r="A26" s="7" t="s">
        <v>28</v>
      </c>
      <c r="B26" s="16">
        <v>-2685</v>
      </c>
      <c r="C26" s="16">
        <v>-265</v>
      </c>
      <c r="D26" s="18"/>
    </row>
    <row r="27" spans="1:4">
      <c r="A27" s="12" t="s">
        <v>29</v>
      </c>
      <c r="B27" s="19">
        <v>100971</v>
      </c>
      <c r="C27" s="19">
        <v>14057</v>
      </c>
      <c r="D27" s="18"/>
    </row>
    <row r="28" spans="1:4">
      <c r="A28" s="7" t="s">
        <v>30</v>
      </c>
      <c r="B28" s="20">
        <v>-50332</v>
      </c>
      <c r="C28" s="20">
        <v>-4340</v>
      </c>
      <c r="D28" s="21"/>
    </row>
    <row r="29" spans="1:4">
      <c r="A29" s="7" t="s">
        <v>31</v>
      </c>
      <c r="B29" s="14">
        <v>0</v>
      </c>
      <c r="C29" s="14">
        <v>0</v>
      </c>
      <c r="D29" s="22"/>
    </row>
    <row r="30" spans="1:4">
      <c r="A30" s="12" t="s">
        <v>32</v>
      </c>
      <c r="B30" s="19">
        <v>50639</v>
      </c>
      <c r="C30" s="19">
        <v>9717</v>
      </c>
      <c r="D30" s="18"/>
    </row>
    <row r="31" spans="1:4">
      <c r="A31" s="7" t="s">
        <v>33</v>
      </c>
      <c r="B31" s="16">
        <v>0</v>
      </c>
      <c r="C31" s="16">
        <v>0</v>
      </c>
      <c r="D31" s="18"/>
    </row>
    <row r="32" spans="1:4">
      <c r="A32" s="7" t="s">
        <v>34</v>
      </c>
      <c r="B32" s="16">
        <v>0</v>
      </c>
      <c r="C32" s="16">
        <v>0</v>
      </c>
      <c r="D32" s="18"/>
    </row>
    <row r="33" spans="1:4">
      <c r="A33" s="7" t="s">
        <v>35</v>
      </c>
      <c r="B33" s="16">
        <v>6569</v>
      </c>
      <c r="C33" s="16">
        <v>4233</v>
      </c>
      <c r="D33" s="18"/>
    </row>
    <row r="34" spans="1:4">
      <c r="A34" s="7" t="s">
        <v>36</v>
      </c>
      <c r="B34" s="16">
        <v>0</v>
      </c>
      <c r="C34" s="16">
        <v>0</v>
      </c>
      <c r="D34" s="18"/>
    </row>
    <row r="35" spans="1:4">
      <c r="A35" s="12" t="s">
        <v>37</v>
      </c>
      <c r="B35" s="19">
        <v>6569</v>
      </c>
      <c r="C35" s="19">
        <v>4233</v>
      </c>
      <c r="D35" s="18"/>
    </row>
    <row r="36" spans="1:4">
      <c r="A36" s="23" t="s">
        <v>38</v>
      </c>
      <c r="B36" s="24">
        <v>57208</v>
      </c>
      <c r="C36" s="25">
        <v>13950</v>
      </c>
      <c r="D36" s="26"/>
    </row>
    <row r="37" spans="1:4">
      <c r="A37" s="27" t="s">
        <v>313</v>
      </c>
      <c r="B37" s="24"/>
      <c r="C37" s="28"/>
      <c r="D37" s="27"/>
    </row>
    <row r="38" spans="1:4">
      <c r="A38" s="376" t="s">
        <v>40</v>
      </c>
      <c r="B38" s="13">
        <v>3129</v>
      </c>
      <c r="C38" s="29">
        <v>9</v>
      </c>
      <c r="D38" s="13"/>
    </row>
    <row r="39" spans="1:4">
      <c r="A39" s="7" t="s">
        <v>41</v>
      </c>
      <c r="B39" s="14">
        <v>2374</v>
      </c>
      <c r="C39" s="14">
        <v>0</v>
      </c>
      <c r="D39" s="22"/>
    </row>
    <row r="40" spans="1:4">
      <c r="A40" s="7" t="s">
        <v>42</v>
      </c>
      <c r="B40" s="30">
        <v>568</v>
      </c>
      <c r="C40" s="31">
        <v>9</v>
      </c>
      <c r="D40" s="32"/>
    </row>
    <row r="41" spans="1:4">
      <c r="A41" s="7" t="s">
        <v>43</v>
      </c>
      <c r="B41" s="30">
        <v>187</v>
      </c>
      <c r="C41" s="30">
        <v>0</v>
      </c>
      <c r="D41" s="33"/>
    </row>
    <row r="42" spans="1:4">
      <c r="A42" s="7" t="s">
        <v>44</v>
      </c>
      <c r="B42" s="31">
        <v>0</v>
      </c>
      <c r="C42" s="34">
        <v>0</v>
      </c>
      <c r="D42" s="35"/>
    </row>
    <row r="43" spans="1:4">
      <c r="A43" s="7" t="s">
        <v>278</v>
      </c>
      <c r="B43" s="36">
        <v>0</v>
      </c>
      <c r="C43" s="37">
        <v>0</v>
      </c>
      <c r="D43" s="21"/>
    </row>
    <row r="44" spans="1:4">
      <c r="A44" s="7" t="s">
        <v>45</v>
      </c>
      <c r="B44" s="38">
        <v>0</v>
      </c>
      <c r="C44" s="39">
        <v>0</v>
      </c>
      <c r="D44" s="22"/>
    </row>
    <row r="45" spans="1:4">
      <c r="A45" s="376" t="s">
        <v>46</v>
      </c>
      <c r="B45" s="28">
        <v>12331</v>
      </c>
      <c r="C45" s="28">
        <v>2416</v>
      </c>
      <c r="D45" s="32"/>
    </row>
    <row r="46" spans="1:4">
      <c r="A46" s="7" t="s">
        <v>47</v>
      </c>
      <c r="B46" s="40">
        <v>12331</v>
      </c>
      <c r="C46" s="40">
        <v>2416</v>
      </c>
      <c r="D46" s="41"/>
    </row>
    <row r="47" spans="1:4">
      <c r="A47" s="7" t="s">
        <v>48</v>
      </c>
      <c r="B47" s="38" t="s">
        <v>277</v>
      </c>
      <c r="C47" s="39">
        <v>0</v>
      </c>
      <c r="D47" s="42"/>
    </row>
    <row r="48" spans="1:4">
      <c r="A48" s="7" t="s">
        <v>49</v>
      </c>
      <c r="B48" s="43" t="s">
        <v>277</v>
      </c>
      <c r="C48" s="39">
        <v>0</v>
      </c>
      <c r="D48" s="35"/>
    </row>
    <row r="49" spans="1:4">
      <c r="A49" s="23" t="s">
        <v>50</v>
      </c>
      <c r="B49" s="24">
        <v>7536</v>
      </c>
      <c r="C49" s="26">
        <v>48</v>
      </c>
      <c r="D49" s="35"/>
    </row>
    <row r="50" spans="1:4">
      <c r="A50" s="7" t="s">
        <v>33</v>
      </c>
      <c r="B50" s="31">
        <v>847</v>
      </c>
      <c r="C50" s="39">
        <v>0</v>
      </c>
      <c r="D50" s="35"/>
    </row>
    <row r="51" spans="1:4">
      <c r="A51" s="7" t="s">
        <v>51</v>
      </c>
      <c r="B51" s="30">
        <v>6689</v>
      </c>
      <c r="C51" s="44">
        <v>48</v>
      </c>
      <c r="D51" s="35"/>
    </row>
    <row r="52" spans="1:4">
      <c r="A52" s="376" t="s">
        <v>52</v>
      </c>
      <c r="B52" s="24">
        <v>34212</v>
      </c>
      <c r="C52" s="45">
        <v>11477</v>
      </c>
      <c r="D52" s="35"/>
    </row>
    <row r="53" spans="1:4">
      <c r="A53" s="7" t="s">
        <v>53</v>
      </c>
      <c r="B53" s="30">
        <v>0</v>
      </c>
      <c r="C53" s="44">
        <v>0</v>
      </c>
      <c r="D53" s="30"/>
    </row>
    <row r="54" spans="1:4">
      <c r="A54" s="7" t="s">
        <v>54</v>
      </c>
      <c r="B54" s="30">
        <v>0</v>
      </c>
      <c r="C54" s="34">
        <v>0</v>
      </c>
      <c r="D54" s="31"/>
    </row>
    <row r="55" spans="1:4">
      <c r="A55" s="7" t="s">
        <v>55</v>
      </c>
      <c r="B55" s="30">
        <v>34212</v>
      </c>
      <c r="C55" s="44">
        <v>11477</v>
      </c>
      <c r="D55" s="46"/>
    </row>
    <row r="56" spans="1:4">
      <c r="A56" s="7" t="s">
        <v>56</v>
      </c>
      <c r="B56" s="30">
        <v>0</v>
      </c>
      <c r="C56" s="44">
        <v>0</v>
      </c>
      <c r="D56" s="31"/>
    </row>
    <row r="57" spans="1:4">
      <c r="A57" s="47" t="s">
        <v>57</v>
      </c>
      <c r="B57" s="48">
        <v>57208</v>
      </c>
      <c r="C57" s="49">
        <v>13950</v>
      </c>
      <c r="D57" s="43"/>
    </row>
    <row r="58" spans="1:4" ht="14.85" customHeight="1">
      <c r="A58" s="4" t="s">
        <v>58</v>
      </c>
      <c r="B58" s="122">
        <v>2025</v>
      </c>
      <c r="C58" s="122"/>
      <c r="D58" s="122"/>
    </row>
    <row r="59" spans="1:4">
      <c r="A59" s="50" t="s">
        <v>59</v>
      </c>
      <c r="B59" s="51"/>
      <c r="C59" s="52"/>
      <c r="D59" s="52"/>
    </row>
    <row r="60" spans="1:4">
      <c r="A60" s="53" t="s">
        <v>60</v>
      </c>
      <c r="B60" s="54"/>
      <c r="C60" s="55"/>
      <c r="D60" s="55"/>
    </row>
    <row r="61" spans="1:4">
      <c r="A61" s="99" t="s">
        <v>61</v>
      </c>
      <c r="B61" s="56">
        <v>16</v>
      </c>
      <c r="C61" s="55"/>
      <c r="D61" s="55"/>
    </row>
    <row r="62" spans="1:4" ht="24.6">
      <c r="A62" s="99" t="s">
        <v>62</v>
      </c>
      <c r="B62" s="57">
        <v>28</v>
      </c>
      <c r="C62" s="55"/>
      <c r="D62" s="55"/>
    </row>
    <row r="63" spans="1:4">
      <c r="A63" s="99" t="s">
        <v>63</v>
      </c>
      <c r="B63" s="58">
        <v>50</v>
      </c>
      <c r="C63" s="55"/>
      <c r="D63" s="55"/>
    </row>
    <row r="64" spans="1:4">
      <c r="A64" s="99" t="s">
        <v>64</v>
      </c>
      <c r="B64" s="58">
        <v>25</v>
      </c>
      <c r="C64" s="55"/>
      <c r="D64" s="55"/>
    </row>
    <row r="65" spans="1:4">
      <c r="A65" s="99" t="s">
        <v>65</v>
      </c>
      <c r="B65" s="58">
        <v>25</v>
      </c>
      <c r="C65" s="55"/>
      <c r="D65" s="55"/>
    </row>
    <row r="66" spans="1:4">
      <c r="A66" s="99" t="s">
        <v>66</v>
      </c>
      <c r="B66" s="58">
        <v>0</v>
      </c>
      <c r="C66" s="55"/>
      <c r="D66" s="55"/>
    </row>
    <row r="67" spans="1:4">
      <c r="A67" s="59" t="s">
        <v>67</v>
      </c>
      <c r="B67" s="60">
        <v>12.5</v>
      </c>
      <c r="C67" s="55"/>
      <c r="D67" s="55"/>
    </row>
    <row r="68" spans="1:4">
      <c r="A68" s="99" t="s">
        <v>68</v>
      </c>
      <c r="B68" s="58">
        <v>0</v>
      </c>
      <c r="C68" s="55"/>
      <c r="D68" s="55"/>
    </row>
    <row r="69" spans="1:4">
      <c r="A69" s="59" t="s">
        <v>69</v>
      </c>
      <c r="B69" s="60">
        <v>12.5</v>
      </c>
      <c r="C69" s="55"/>
      <c r="D69" s="55"/>
    </row>
    <row r="70" spans="1:4">
      <c r="A70" s="99" t="s">
        <v>70</v>
      </c>
      <c r="B70" s="58">
        <v>52.17</v>
      </c>
      <c r="C70" s="55"/>
      <c r="D70" s="55"/>
    </row>
    <row r="71" spans="1:4" ht="24.6">
      <c r="A71" s="99" t="s">
        <v>71</v>
      </c>
      <c r="B71" s="58">
        <v>0</v>
      </c>
      <c r="C71" s="55"/>
      <c r="D71" s="55"/>
    </row>
    <row r="72" spans="1:4">
      <c r="A72" s="99" t="s">
        <v>72</v>
      </c>
      <c r="B72" s="58">
        <v>0</v>
      </c>
      <c r="C72" s="55"/>
      <c r="D72" s="55"/>
    </row>
    <row r="73" spans="1:4">
      <c r="A73" s="99" t="s">
        <v>73</v>
      </c>
      <c r="B73" s="58">
        <v>0</v>
      </c>
      <c r="C73" s="55"/>
      <c r="D73" s="55"/>
    </row>
    <row r="74" spans="1:4">
      <c r="A74" s="99" t="s">
        <v>74</v>
      </c>
      <c r="B74" s="56">
        <v>0</v>
      </c>
      <c r="C74" s="55"/>
      <c r="D74" s="55"/>
    </row>
    <row r="75" spans="1:4">
      <c r="A75" s="61" t="s">
        <v>75</v>
      </c>
      <c r="C75" s="55"/>
      <c r="D75" s="55"/>
    </row>
    <row r="76" spans="1:4">
      <c r="A76" s="62" t="s">
        <v>76</v>
      </c>
      <c r="B76" s="63">
        <v>1934</v>
      </c>
      <c r="C76" s="55"/>
      <c r="D76" s="55"/>
    </row>
    <row r="77" spans="1:4">
      <c r="A77" s="64" t="s">
        <v>77</v>
      </c>
      <c r="B77" s="63">
        <v>688</v>
      </c>
      <c r="C77" s="55"/>
      <c r="D77" s="55"/>
    </row>
    <row r="78" spans="1:4">
      <c r="A78" s="65" t="s">
        <v>42</v>
      </c>
      <c r="B78" s="66">
        <v>779</v>
      </c>
      <c r="C78" s="55"/>
      <c r="D78" s="55"/>
    </row>
    <row r="79" spans="1:4">
      <c r="A79" s="99" t="s">
        <v>78</v>
      </c>
      <c r="B79" s="67">
        <v>0</v>
      </c>
      <c r="C79" s="55"/>
      <c r="D79" s="55"/>
    </row>
    <row r="80" spans="1:4">
      <c r="A80" s="99" t="s">
        <v>79</v>
      </c>
      <c r="B80" s="67">
        <v>263</v>
      </c>
      <c r="C80" s="55"/>
      <c r="D80" s="55"/>
    </row>
    <row r="81" spans="1:4">
      <c r="A81" s="99" t="s">
        <v>80</v>
      </c>
      <c r="B81" s="67">
        <v>313</v>
      </c>
      <c r="C81" s="55"/>
      <c r="D81" s="55"/>
    </row>
    <row r="82" spans="1:4">
      <c r="A82" s="99" t="s">
        <v>81</v>
      </c>
      <c r="B82" s="67">
        <v>169</v>
      </c>
      <c r="C82" s="55"/>
      <c r="D82" s="55"/>
    </row>
    <row r="83" spans="1:4">
      <c r="A83" s="99" t="s">
        <v>82</v>
      </c>
      <c r="B83" s="67">
        <v>14</v>
      </c>
      <c r="C83" s="55"/>
      <c r="D83" s="55"/>
    </row>
    <row r="84" spans="1:4">
      <c r="A84" s="99" t="s">
        <v>83</v>
      </c>
      <c r="B84" s="67">
        <v>0</v>
      </c>
      <c r="C84" s="55"/>
      <c r="D84" s="55"/>
    </row>
    <row r="85" spans="1:4">
      <c r="A85" s="99" t="s">
        <v>84</v>
      </c>
      <c r="B85" s="67">
        <v>0</v>
      </c>
      <c r="C85" s="55"/>
      <c r="D85" s="55"/>
    </row>
    <row r="86" spans="1:4">
      <c r="A86" s="99" t="s">
        <v>85</v>
      </c>
      <c r="B86" s="67">
        <v>4</v>
      </c>
      <c r="C86" s="55"/>
      <c r="D86" s="55"/>
    </row>
    <row r="87" spans="1:4">
      <c r="A87" s="99" t="s">
        <v>86</v>
      </c>
      <c r="B87" s="67">
        <v>0</v>
      </c>
      <c r="C87" s="67"/>
      <c r="D87" s="67"/>
    </row>
    <row r="88" spans="1:4">
      <c r="A88" s="59" t="s">
        <v>87</v>
      </c>
      <c r="B88" s="68">
        <v>16</v>
      </c>
      <c r="C88" s="68"/>
      <c r="D88" s="69"/>
    </row>
    <row r="89" spans="1:4">
      <c r="A89" s="65" t="s">
        <v>88</v>
      </c>
      <c r="B89" s="70"/>
      <c r="C89" s="70"/>
      <c r="D89" s="70"/>
    </row>
    <row r="90" spans="1:4" ht="14.45" customHeight="1">
      <c r="A90" s="99" t="s">
        <v>89</v>
      </c>
      <c r="B90" s="67">
        <v>222</v>
      </c>
      <c r="C90" s="67"/>
      <c r="D90" s="67"/>
    </row>
    <row r="91" spans="1:4">
      <c r="A91" s="59" t="s">
        <v>90</v>
      </c>
      <c r="B91" s="68">
        <v>11</v>
      </c>
      <c r="C91" s="68"/>
      <c r="D91" s="71"/>
    </row>
    <row r="92" spans="1:4">
      <c r="A92" s="99" t="s">
        <v>91</v>
      </c>
      <c r="B92" s="72">
        <v>11.72</v>
      </c>
      <c r="C92" s="72"/>
      <c r="D92" s="72"/>
    </row>
    <row r="93" spans="1:4">
      <c r="A93" s="99" t="s">
        <v>92</v>
      </c>
      <c r="B93" s="72">
        <v>1.1299999999999999</v>
      </c>
      <c r="C93" s="72"/>
      <c r="D93" s="72"/>
    </row>
    <row r="94" spans="1:4">
      <c r="A94" s="65" t="s">
        <v>93</v>
      </c>
      <c r="C94" s="70"/>
      <c r="D94" s="70"/>
    </row>
    <row r="95" spans="1:4">
      <c r="A95" s="99" t="s">
        <v>94</v>
      </c>
      <c r="B95" s="72">
        <v>0</v>
      </c>
      <c r="C95" s="72"/>
      <c r="D95" s="72"/>
    </row>
    <row r="96" spans="1:4">
      <c r="A96" s="99" t="s">
        <v>95</v>
      </c>
      <c r="B96" s="72">
        <v>0</v>
      </c>
      <c r="C96" s="72"/>
      <c r="D96" s="72"/>
    </row>
    <row r="97" spans="1:4">
      <c r="A97" s="99" t="s">
        <v>96</v>
      </c>
      <c r="B97" s="72">
        <f>126876.65/12</f>
        <v>10573.054166666667</v>
      </c>
      <c r="C97" s="72"/>
      <c r="D97" s="72"/>
    </row>
    <row r="98" spans="1:4">
      <c r="A98" s="99" t="s">
        <v>97</v>
      </c>
      <c r="B98" s="72">
        <f>86386/12</f>
        <v>7198.833333333333</v>
      </c>
      <c r="C98" s="72"/>
      <c r="D98" s="72"/>
    </row>
    <row r="99" spans="1:4">
      <c r="A99" s="65" t="s">
        <v>98</v>
      </c>
      <c r="C99" s="70"/>
      <c r="D99" s="70"/>
    </row>
    <row r="100" spans="1:4">
      <c r="A100" s="99" t="s">
        <v>99</v>
      </c>
      <c r="B100" s="67">
        <v>105.12</v>
      </c>
      <c r="C100" s="67"/>
      <c r="D100" s="67"/>
    </row>
    <row r="101" spans="1:4">
      <c r="A101" s="59" t="s">
        <v>100</v>
      </c>
      <c r="B101" s="68">
        <v>0</v>
      </c>
      <c r="C101" s="68"/>
      <c r="D101" s="68"/>
    </row>
    <row r="102" spans="1:4">
      <c r="A102" s="99" t="s">
        <v>101</v>
      </c>
      <c r="B102" s="67">
        <v>0</v>
      </c>
      <c r="C102" s="67"/>
      <c r="D102" s="67"/>
    </row>
    <row r="103" spans="1:4">
      <c r="A103" s="99" t="s">
        <v>102</v>
      </c>
      <c r="B103" s="67">
        <v>1.7</v>
      </c>
      <c r="C103" s="67"/>
      <c r="D103" s="67"/>
    </row>
    <row r="104" spans="1:4">
      <c r="A104" s="99" t="s">
        <v>103</v>
      </c>
      <c r="B104" s="67">
        <v>0</v>
      </c>
      <c r="C104" s="67"/>
      <c r="D104" s="67"/>
    </row>
    <row r="105" spans="1:4" ht="14.45" customHeight="1">
      <c r="A105" s="99" t="s">
        <v>104</v>
      </c>
      <c r="B105" s="67">
        <v>1.59</v>
      </c>
      <c r="C105" s="67"/>
      <c r="D105" s="67"/>
    </row>
    <row r="106" spans="1:4" ht="14.85" customHeight="1">
      <c r="A106" s="59" t="s">
        <v>105</v>
      </c>
      <c r="B106" s="68">
        <v>0</v>
      </c>
      <c r="C106" s="68"/>
      <c r="D106" s="68"/>
    </row>
    <row r="107" spans="1:4">
      <c r="A107" s="99" t="s">
        <v>106</v>
      </c>
      <c r="B107" s="67">
        <v>0</v>
      </c>
      <c r="C107" s="67"/>
      <c r="D107" s="67"/>
    </row>
    <row r="108" spans="1:4">
      <c r="A108" s="99" t="s">
        <v>107</v>
      </c>
      <c r="B108" s="67">
        <v>0</v>
      </c>
      <c r="C108" s="67"/>
      <c r="D108" s="67"/>
    </row>
    <row r="109" spans="1:4">
      <c r="A109" s="99" t="s">
        <v>108</v>
      </c>
      <c r="B109" s="67">
        <v>0</v>
      </c>
      <c r="C109" s="67"/>
      <c r="D109" s="67"/>
    </row>
    <row r="110" spans="1:4" ht="15" customHeight="1">
      <c r="A110" s="99" t="s">
        <v>109</v>
      </c>
      <c r="B110" s="67">
        <v>0</v>
      </c>
      <c r="C110" s="67"/>
      <c r="D110" s="67"/>
    </row>
    <row r="111" spans="1:4">
      <c r="A111" s="65" t="s">
        <v>111</v>
      </c>
      <c r="B111" s="70"/>
      <c r="C111" s="70"/>
      <c r="D111" s="70"/>
    </row>
    <row r="112" spans="1:4">
      <c r="A112" s="99" t="s">
        <v>112</v>
      </c>
      <c r="B112" s="73">
        <v>0</v>
      </c>
      <c r="C112" s="73"/>
      <c r="D112" s="73"/>
    </row>
    <row r="113" spans="1:4">
      <c r="A113" s="74" t="s">
        <v>113</v>
      </c>
      <c r="B113" s="75">
        <v>0</v>
      </c>
      <c r="C113" s="75"/>
      <c r="D113" s="75"/>
    </row>
    <row r="114" spans="1:4">
      <c r="A114" s="62" t="s">
        <v>114</v>
      </c>
      <c r="B114" s="76">
        <v>81.25</v>
      </c>
      <c r="C114" s="76"/>
      <c r="D114" s="76"/>
    </row>
    <row r="115" spans="1:4">
      <c r="A115" s="62" t="s">
        <v>115</v>
      </c>
      <c r="B115" s="76">
        <v>12.5</v>
      </c>
      <c r="C115" s="76"/>
      <c r="D115" s="76"/>
    </row>
    <row r="116" spans="1:4" s="301" customFormat="1">
      <c r="A116" s="300" t="s">
        <v>116</v>
      </c>
      <c r="B116" s="77">
        <v>6.25</v>
      </c>
      <c r="C116" s="77"/>
      <c r="D116" s="77"/>
    </row>
    <row r="117" spans="1:4">
      <c r="A117" s="59" t="s">
        <v>117</v>
      </c>
      <c r="B117" s="78">
        <v>63187.06</v>
      </c>
      <c r="C117" s="79"/>
      <c r="D117" s="79"/>
    </row>
    <row r="118" spans="1:4">
      <c r="A118" s="65" t="s">
        <v>118</v>
      </c>
      <c r="B118" s="80"/>
      <c r="C118" s="70"/>
      <c r="D118" s="70"/>
    </row>
    <row r="119" spans="1:4">
      <c r="A119" s="59" t="s">
        <v>119</v>
      </c>
      <c r="B119" s="81">
        <v>0</v>
      </c>
      <c r="C119" s="79"/>
      <c r="D119" s="79"/>
    </row>
    <row r="120" spans="1:4">
      <c r="A120" s="99" t="s">
        <v>120</v>
      </c>
      <c r="B120" s="81">
        <v>0</v>
      </c>
      <c r="C120" s="73"/>
      <c r="D120" s="73"/>
    </row>
    <row r="121" spans="1:4">
      <c r="A121" s="59" t="s">
        <v>121</v>
      </c>
      <c r="B121" s="81">
        <v>0</v>
      </c>
      <c r="C121" s="79"/>
      <c r="D121" s="79"/>
    </row>
    <row r="122" spans="1:4">
      <c r="A122" s="99" t="s">
        <v>122</v>
      </c>
      <c r="B122" s="81">
        <v>0</v>
      </c>
      <c r="C122" s="73"/>
      <c r="D122" s="73"/>
    </row>
    <row r="123" spans="1:4">
      <c r="A123" s="59" t="s">
        <v>123</v>
      </c>
      <c r="B123" s="81">
        <v>0</v>
      </c>
      <c r="C123" s="79"/>
      <c r="D123" s="79"/>
    </row>
    <row r="124" spans="1:4">
      <c r="A124" s="65" t="s">
        <v>124</v>
      </c>
      <c r="B124" s="80"/>
      <c r="C124" s="70"/>
      <c r="D124" s="70"/>
    </row>
    <row r="125" spans="1:4">
      <c r="A125" s="99" t="s">
        <v>125</v>
      </c>
      <c r="B125" s="67">
        <v>16</v>
      </c>
      <c r="C125" s="67"/>
      <c r="D125" s="67"/>
    </row>
    <row r="126" spans="1:4">
      <c r="A126" s="59" t="s">
        <v>126</v>
      </c>
      <c r="B126" s="68">
        <v>3</v>
      </c>
      <c r="C126" s="68"/>
      <c r="D126" s="68"/>
    </row>
    <row r="127" spans="1:4">
      <c r="A127" s="99" t="s">
        <v>127</v>
      </c>
      <c r="B127" s="82">
        <v>0.31</v>
      </c>
      <c r="C127" s="82"/>
      <c r="D127" s="82"/>
    </row>
    <row r="128" spans="1:4">
      <c r="A128" s="83" t="s">
        <v>128</v>
      </c>
      <c r="B128" s="84"/>
      <c r="C128" s="85"/>
      <c r="D128" s="85"/>
    </row>
    <row r="129" spans="1:4">
      <c r="A129" s="99" t="s">
        <v>294</v>
      </c>
      <c r="B129" s="67">
        <v>0</v>
      </c>
      <c r="C129" s="67"/>
      <c r="D129" s="67"/>
    </row>
    <row r="130" spans="1:4">
      <c r="A130" s="99" t="s">
        <v>279</v>
      </c>
      <c r="B130" s="67">
        <v>0</v>
      </c>
      <c r="C130" s="67"/>
      <c r="D130" s="67"/>
    </row>
    <row r="131" spans="1:4">
      <c r="A131" s="99" t="s">
        <v>131</v>
      </c>
      <c r="B131" s="67">
        <v>0</v>
      </c>
      <c r="C131" s="67"/>
      <c r="D131" s="67"/>
    </row>
    <row r="132" spans="1:4">
      <c r="A132" s="99" t="s">
        <v>132</v>
      </c>
      <c r="B132" s="67">
        <v>0</v>
      </c>
      <c r="C132" s="67"/>
      <c r="D132" s="67"/>
    </row>
    <row r="133" spans="1:4">
      <c r="A133" s="99" t="s">
        <v>133</v>
      </c>
      <c r="B133" s="67">
        <v>0</v>
      </c>
      <c r="C133" s="67"/>
      <c r="D133" s="67"/>
    </row>
    <row r="134" spans="1:4">
      <c r="A134" s="65" t="s">
        <v>135</v>
      </c>
      <c r="B134" s="84"/>
      <c r="C134" s="70"/>
      <c r="D134" s="70"/>
    </row>
    <row r="135" spans="1:4">
      <c r="A135" s="99" t="s">
        <v>136</v>
      </c>
      <c r="B135" s="86">
        <v>20</v>
      </c>
      <c r="C135" s="67"/>
      <c r="D135" s="67"/>
    </row>
    <row r="136" spans="1:4">
      <c r="A136" s="99" t="s">
        <v>137</v>
      </c>
      <c r="B136" s="86">
        <v>6</v>
      </c>
      <c r="C136" s="67"/>
      <c r="D136" s="67"/>
    </row>
    <row r="137" spans="1:4">
      <c r="A137" s="4" t="s">
        <v>138</v>
      </c>
      <c r="B137" s="122">
        <v>2025</v>
      </c>
      <c r="C137" s="122"/>
      <c r="D137" s="122"/>
    </row>
    <row r="138" spans="1:4">
      <c r="A138" s="87" t="s">
        <v>139</v>
      </c>
      <c r="B138" s="52"/>
      <c r="C138" s="52"/>
      <c r="D138" s="52"/>
    </row>
    <row r="139" spans="1:4">
      <c r="A139" s="88" t="s">
        <v>140</v>
      </c>
      <c r="B139" s="89"/>
      <c r="C139" s="89"/>
      <c r="D139" s="90"/>
    </row>
    <row r="140" spans="1:4">
      <c r="A140" s="99" t="s">
        <v>141</v>
      </c>
      <c r="B140" s="67">
        <v>0</v>
      </c>
      <c r="C140" s="67"/>
      <c r="D140" s="67"/>
    </row>
    <row r="141" spans="1:4">
      <c r="A141" s="99" t="s">
        <v>142</v>
      </c>
      <c r="B141" s="67">
        <v>0</v>
      </c>
      <c r="C141" s="67"/>
      <c r="D141" s="67"/>
    </row>
    <row r="142" spans="1:4">
      <c r="A142" s="99" t="s">
        <v>143</v>
      </c>
      <c r="B142" s="67">
        <v>0</v>
      </c>
      <c r="C142" s="67"/>
      <c r="D142" s="67"/>
    </row>
    <row r="143" spans="1:4" ht="14.85" customHeight="1">
      <c r="A143" s="91" t="s">
        <v>144</v>
      </c>
      <c r="B143" s="73"/>
      <c r="C143" s="70"/>
      <c r="D143" s="70"/>
    </row>
    <row r="144" spans="1:4">
      <c r="A144" s="92" t="s">
        <v>145</v>
      </c>
      <c r="B144" s="73">
        <v>0</v>
      </c>
      <c r="C144" s="93"/>
      <c r="D144" s="93"/>
    </row>
    <row r="145" spans="1:4">
      <c r="A145" s="99" t="s">
        <v>147</v>
      </c>
      <c r="B145" s="73">
        <v>0</v>
      </c>
      <c r="C145" s="73"/>
      <c r="D145" s="73"/>
    </row>
    <row r="146" spans="1:4">
      <c r="A146" s="99" t="s">
        <v>148</v>
      </c>
      <c r="B146" s="73">
        <v>0</v>
      </c>
      <c r="C146" s="73"/>
      <c r="D146" s="73"/>
    </row>
    <row r="147" spans="1:4">
      <c r="A147" s="99" t="s">
        <v>149</v>
      </c>
      <c r="B147" s="73">
        <v>0</v>
      </c>
      <c r="C147" s="73"/>
      <c r="D147" s="73"/>
    </row>
    <row r="148" spans="1:4">
      <c r="A148" s="99" t="s">
        <v>327</v>
      </c>
      <c r="B148" s="73">
        <f>313800/1000</f>
        <v>313.8</v>
      </c>
      <c r="C148" s="73"/>
      <c r="D148" s="73"/>
    </row>
    <row r="149" spans="1:4" ht="14.85" customHeight="1">
      <c r="A149" s="427" t="s">
        <v>328</v>
      </c>
      <c r="B149" s="427"/>
      <c r="C149" s="427"/>
      <c r="D149" s="427"/>
    </row>
    <row r="150" spans="1:4" ht="24.6">
      <c r="A150" s="99" t="s">
        <v>151</v>
      </c>
      <c r="B150" s="73">
        <v>0</v>
      </c>
      <c r="C150" s="73"/>
      <c r="D150" s="73"/>
    </row>
    <row r="151" spans="1:4" ht="24.6">
      <c r="A151" s="99" t="s">
        <v>152</v>
      </c>
      <c r="B151" s="73">
        <v>0</v>
      </c>
      <c r="C151" s="73"/>
      <c r="D151" s="73"/>
    </row>
    <row r="152" spans="1:4" ht="24" customHeight="1">
      <c r="A152" s="412" t="s">
        <v>154</v>
      </c>
      <c r="B152" s="412"/>
      <c r="C152" s="412"/>
      <c r="D152" s="412"/>
    </row>
    <row r="153" spans="1:4">
      <c r="A153" s="59" t="s">
        <v>155</v>
      </c>
      <c r="B153" s="94">
        <v>0</v>
      </c>
      <c r="C153" s="94"/>
      <c r="D153" s="94"/>
    </row>
    <row r="154" spans="1:4">
      <c r="A154" s="99" t="s">
        <v>156</v>
      </c>
      <c r="B154" s="68">
        <v>0</v>
      </c>
      <c r="C154" s="68"/>
      <c r="D154" s="68"/>
    </row>
    <row r="155" spans="1:4">
      <c r="A155" s="59" t="s">
        <v>157</v>
      </c>
      <c r="B155" s="67">
        <v>0</v>
      </c>
      <c r="C155" s="67"/>
      <c r="D155" s="67"/>
    </row>
    <row r="156" spans="1:4" ht="14.85" customHeight="1">
      <c r="A156" s="201" t="s">
        <v>158</v>
      </c>
      <c r="B156" s="95" t="s">
        <v>329</v>
      </c>
      <c r="C156" s="95"/>
      <c r="D156" s="95"/>
    </row>
    <row r="157" spans="1:4">
      <c r="A157" s="96" t="s">
        <v>160</v>
      </c>
      <c r="B157" s="95" t="s">
        <v>329</v>
      </c>
      <c r="C157" s="99"/>
      <c r="D157" s="95"/>
    </row>
    <row r="158" spans="1:4" ht="14.85" customHeight="1">
      <c r="A158" s="4" t="s">
        <v>162</v>
      </c>
      <c r="B158" s="122">
        <v>2025</v>
      </c>
      <c r="C158" s="122"/>
      <c r="D158" s="122"/>
    </row>
    <row r="159" spans="1:4">
      <c r="A159" s="87" t="s">
        <v>163</v>
      </c>
      <c r="B159" s="97"/>
      <c r="C159" s="97"/>
      <c r="D159" s="97"/>
    </row>
    <row r="160" spans="1:4">
      <c r="A160" s="88" t="s">
        <v>164</v>
      </c>
      <c r="B160" s="89"/>
      <c r="C160" s="89"/>
      <c r="D160" s="90"/>
    </row>
    <row r="161" spans="1:4" ht="24.6">
      <c r="A161" s="99" t="s">
        <v>330</v>
      </c>
      <c r="B161" s="81">
        <v>0</v>
      </c>
      <c r="C161" s="72"/>
      <c r="D161" s="72"/>
    </row>
    <row r="162" spans="1:4" ht="24.6">
      <c r="A162" s="99" t="s">
        <v>331</v>
      </c>
      <c r="B162" s="81">
        <v>0</v>
      </c>
      <c r="C162" s="98"/>
      <c r="D162" s="98"/>
    </row>
    <row r="163" spans="1:4" ht="14.85" customHeight="1">
      <c r="A163" s="414" t="s">
        <v>332</v>
      </c>
      <c r="B163" s="414"/>
      <c r="C163" s="414"/>
      <c r="D163" s="414"/>
    </row>
    <row r="164" spans="1:4">
      <c r="A164" s="65" t="s">
        <v>168</v>
      </c>
      <c r="B164" s="100"/>
      <c r="C164" s="100"/>
      <c r="D164" s="101"/>
    </row>
    <row r="165" spans="1:4" ht="14.45" customHeight="1">
      <c r="A165" s="99" t="s">
        <v>169</v>
      </c>
      <c r="B165" s="81">
        <v>0</v>
      </c>
      <c r="C165" s="72"/>
      <c r="D165" s="72"/>
    </row>
    <row r="166" spans="1:4">
      <c r="A166" s="99" t="s">
        <v>170</v>
      </c>
      <c r="B166" s="81">
        <v>0</v>
      </c>
      <c r="C166" s="72"/>
      <c r="D166" s="72"/>
    </row>
    <row r="167" spans="1:4">
      <c r="A167" s="99" t="s">
        <v>171</v>
      </c>
      <c r="B167" s="81">
        <v>0</v>
      </c>
      <c r="C167" s="72"/>
      <c r="D167" s="72"/>
    </row>
    <row r="168" spans="1:4">
      <c r="A168" s="92" t="s">
        <v>172</v>
      </c>
      <c r="B168" s="81">
        <v>0</v>
      </c>
      <c r="C168" s="102"/>
      <c r="D168" s="102"/>
    </row>
    <row r="169" spans="1:4" ht="36" customHeight="1">
      <c r="A169" s="427" t="s">
        <v>173</v>
      </c>
      <c r="B169" s="427"/>
      <c r="C169" s="427"/>
      <c r="D169" s="427"/>
    </row>
    <row r="170" spans="1:4" ht="14.85" customHeight="1">
      <c r="A170" s="88" t="s">
        <v>174</v>
      </c>
      <c r="B170" s="89"/>
      <c r="C170" s="89"/>
      <c r="D170" s="89"/>
    </row>
    <row r="171" spans="1:4" ht="14.45" customHeight="1">
      <c r="A171" s="92" t="s">
        <v>175</v>
      </c>
      <c r="B171" s="103">
        <v>0</v>
      </c>
      <c r="C171" s="93"/>
      <c r="D171" s="93"/>
    </row>
    <row r="172" spans="1:4">
      <c r="A172" s="92" t="s">
        <v>176</v>
      </c>
      <c r="B172" s="103">
        <v>0</v>
      </c>
      <c r="C172" s="93"/>
      <c r="D172" s="93"/>
    </row>
    <row r="173" spans="1:4" ht="36" customHeight="1">
      <c r="A173" s="418" t="s">
        <v>177</v>
      </c>
      <c r="B173" s="418"/>
      <c r="C173" s="418"/>
      <c r="D173" s="418"/>
    </row>
    <row r="174" spans="1:4">
      <c r="A174" s="87" t="s">
        <v>178</v>
      </c>
      <c r="B174" s="52"/>
      <c r="C174" s="52"/>
      <c r="D174" s="52"/>
    </row>
    <row r="175" spans="1:4">
      <c r="A175" s="88" t="s">
        <v>179</v>
      </c>
      <c r="B175" s="104">
        <f>B176+C181</f>
        <v>0</v>
      </c>
      <c r="C175" s="89"/>
      <c r="D175" s="90"/>
    </row>
    <row r="176" spans="1:4">
      <c r="A176" s="65" t="s">
        <v>180</v>
      </c>
      <c r="B176" s="105">
        <f>SUM(C177:C180)</f>
        <v>0</v>
      </c>
      <c r="C176" s="70"/>
      <c r="D176" s="80"/>
    </row>
    <row r="177" spans="1:4">
      <c r="A177" s="99" t="s">
        <v>181</v>
      </c>
      <c r="B177" s="81">
        <v>0</v>
      </c>
      <c r="C177" s="72"/>
      <c r="D177" s="72"/>
    </row>
    <row r="178" spans="1:4">
      <c r="A178" s="99" t="s">
        <v>182</v>
      </c>
      <c r="B178" s="81">
        <v>0</v>
      </c>
      <c r="C178" s="72"/>
      <c r="D178" s="72"/>
    </row>
    <row r="179" spans="1:4">
      <c r="A179" s="99" t="s">
        <v>183</v>
      </c>
      <c r="B179" s="81">
        <v>0</v>
      </c>
      <c r="C179" s="65"/>
      <c r="D179" s="72"/>
    </row>
    <row r="180" spans="1:4">
      <c r="A180" s="99" t="s">
        <v>184</v>
      </c>
      <c r="B180" s="81">
        <v>0</v>
      </c>
      <c r="C180" s="72"/>
      <c r="D180" s="72"/>
    </row>
    <row r="181" spans="1:4">
      <c r="A181" s="65" t="s">
        <v>185</v>
      </c>
      <c r="B181" s="106"/>
      <c r="C181" s="105">
        <f>SUM(C182:C183)</f>
        <v>0</v>
      </c>
      <c r="D181" s="70"/>
    </row>
    <row r="182" spans="1:4">
      <c r="A182" s="99" t="s">
        <v>186</v>
      </c>
      <c r="B182" s="81">
        <v>0</v>
      </c>
      <c r="C182" s="72"/>
      <c r="D182" s="72"/>
    </row>
    <row r="183" spans="1:4">
      <c r="A183" s="107" t="s">
        <v>187</v>
      </c>
      <c r="B183" s="81">
        <v>0</v>
      </c>
      <c r="C183" s="108"/>
      <c r="D183" s="108"/>
    </row>
    <row r="184" spans="1:4">
      <c r="A184" s="99" t="s">
        <v>188</v>
      </c>
      <c r="B184" s="103">
        <v>2954160</v>
      </c>
      <c r="C184" s="67"/>
      <c r="D184" s="67"/>
    </row>
    <row r="185" spans="1:4">
      <c r="A185" s="99" t="s">
        <v>189</v>
      </c>
      <c r="B185" s="109"/>
      <c r="C185" s="110"/>
      <c r="D185" s="110"/>
    </row>
    <row r="186" spans="1:4">
      <c r="A186" s="65" t="s">
        <v>300</v>
      </c>
      <c r="B186" s="111"/>
      <c r="C186" s="111"/>
      <c r="D186" s="111"/>
    </row>
    <row r="187" spans="1:4">
      <c r="A187" s="92" t="s">
        <v>191</v>
      </c>
      <c r="B187" s="20">
        <v>0</v>
      </c>
      <c r="C187" s="93"/>
      <c r="D187" s="93"/>
    </row>
    <row r="188" spans="1:4">
      <c r="A188" s="92" t="s">
        <v>192</v>
      </c>
      <c r="B188" s="81">
        <v>0</v>
      </c>
      <c r="C188" s="93"/>
      <c r="D188" s="93"/>
    </row>
    <row r="189" spans="1:4">
      <c r="A189" s="92" t="s">
        <v>193</v>
      </c>
      <c r="B189" s="81">
        <v>0</v>
      </c>
      <c r="C189" s="93"/>
      <c r="D189" s="93"/>
    </row>
    <row r="190" spans="1:4">
      <c r="A190" s="92" t="s">
        <v>194</v>
      </c>
      <c r="B190" s="81">
        <v>0</v>
      </c>
      <c r="C190" s="93"/>
      <c r="D190" s="93"/>
    </row>
    <row r="191" spans="1:4">
      <c r="A191" s="88" t="s">
        <v>301</v>
      </c>
      <c r="B191" s="112"/>
      <c r="C191" s="113"/>
      <c r="D191" s="113"/>
    </row>
    <row r="192" spans="1:4">
      <c r="A192" s="114" t="s">
        <v>196</v>
      </c>
      <c r="B192" s="81">
        <v>0</v>
      </c>
      <c r="C192" s="115"/>
      <c r="D192" s="116"/>
    </row>
    <row r="193" spans="1:4" ht="35.25" customHeight="1">
      <c r="A193" s="437" t="s">
        <v>173</v>
      </c>
      <c r="B193" s="438"/>
      <c r="C193" s="438"/>
      <c r="D193" s="438"/>
    </row>
    <row r="194" spans="1:4">
      <c r="A194" s="117" t="s">
        <v>198</v>
      </c>
      <c r="B194" s="118"/>
      <c r="C194" s="118"/>
      <c r="D194" s="118"/>
    </row>
    <row r="195" spans="1:4">
      <c r="A195" s="88" t="s">
        <v>333</v>
      </c>
      <c r="B195" s="89"/>
      <c r="C195" s="89"/>
      <c r="D195" s="90"/>
    </row>
    <row r="196" spans="1:4">
      <c r="A196" s="99" t="s">
        <v>200</v>
      </c>
      <c r="B196" s="86">
        <v>16</v>
      </c>
      <c r="C196" s="67"/>
      <c r="D196" s="67"/>
    </row>
    <row r="197" spans="1:4" ht="14.45" customHeight="1">
      <c r="A197" s="99" t="s">
        <v>334</v>
      </c>
      <c r="B197" s="119">
        <v>1</v>
      </c>
      <c r="C197" s="67"/>
      <c r="D197" s="67"/>
    </row>
    <row r="198" spans="1:4">
      <c r="A198" s="99" t="s">
        <v>202</v>
      </c>
      <c r="B198" s="86">
        <v>2</v>
      </c>
      <c r="C198" s="67"/>
      <c r="D198" s="67"/>
    </row>
    <row r="199" spans="1:4" ht="24" customHeight="1">
      <c r="A199" s="414" t="s">
        <v>335</v>
      </c>
      <c r="B199" s="414"/>
      <c r="C199" s="414"/>
      <c r="D199" s="414"/>
    </row>
    <row r="200" spans="1:4">
      <c r="A200" s="88" t="s">
        <v>203</v>
      </c>
      <c r="C200" s="89"/>
      <c r="D200" s="89"/>
    </row>
    <row r="201" spans="1:4">
      <c r="A201" s="99" t="s">
        <v>204</v>
      </c>
      <c r="B201" s="81">
        <v>0</v>
      </c>
      <c r="C201" s="67"/>
      <c r="D201" s="67"/>
    </row>
    <row r="202" spans="1:4">
      <c r="A202" s="92" t="s">
        <v>205</v>
      </c>
      <c r="B202" s="81">
        <v>0</v>
      </c>
      <c r="C202" s="94"/>
      <c r="D202" s="94"/>
    </row>
    <row r="203" spans="1:4">
      <c r="A203" s="99" t="s">
        <v>206</v>
      </c>
      <c r="B203" s="81">
        <v>0</v>
      </c>
      <c r="C203" s="67"/>
      <c r="D203" s="67"/>
    </row>
    <row r="204" spans="1:4">
      <c r="A204" s="99" t="s">
        <v>207</v>
      </c>
      <c r="B204" s="81">
        <v>0</v>
      </c>
      <c r="C204" s="67"/>
      <c r="D204" s="67"/>
    </row>
    <row r="205" spans="1:4">
      <c r="A205" s="99" t="s">
        <v>205</v>
      </c>
      <c r="B205" s="81">
        <v>0</v>
      </c>
      <c r="C205" s="67"/>
      <c r="D205" s="67"/>
    </row>
    <row r="206" spans="1:4">
      <c r="A206" s="99" t="s">
        <v>208</v>
      </c>
      <c r="B206" s="81">
        <v>0</v>
      </c>
      <c r="C206" s="67"/>
      <c r="D206" s="67"/>
    </row>
    <row r="207" spans="1:4" ht="14.85" customHeight="1">
      <c r="A207" s="4" t="s">
        <v>322</v>
      </c>
      <c r="B207" s="122">
        <v>2025</v>
      </c>
      <c r="C207" s="122"/>
      <c r="D207" s="122"/>
    </row>
    <row r="208" spans="1:4">
      <c r="A208" s="92" t="s">
        <v>212</v>
      </c>
      <c r="B208" s="81">
        <v>0</v>
      </c>
      <c r="C208" s="120"/>
      <c r="D208" s="120"/>
    </row>
    <row r="209" spans="1:12">
      <c r="A209" s="99" t="s">
        <v>214</v>
      </c>
      <c r="B209" s="81">
        <v>0</v>
      </c>
      <c r="C209" s="67"/>
      <c r="D209" s="67"/>
    </row>
    <row r="210" spans="1:12">
      <c r="A210" s="99" t="s">
        <v>215</v>
      </c>
      <c r="B210" s="81">
        <v>0</v>
      </c>
      <c r="C210" s="68"/>
      <c r="D210" s="68"/>
    </row>
    <row r="211" spans="1:12">
      <c r="A211" s="59" t="s">
        <v>303</v>
      </c>
      <c r="B211" s="81">
        <v>0</v>
      </c>
      <c r="C211" s="67"/>
      <c r="D211" s="67"/>
    </row>
    <row r="212" spans="1:12">
      <c r="A212" s="99" t="s">
        <v>304</v>
      </c>
      <c r="B212" s="81">
        <v>0</v>
      </c>
      <c r="C212" s="67"/>
      <c r="D212" s="67"/>
    </row>
    <row r="213" spans="1:12">
      <c r="A213" s="99" t="s">
        <v>219</v>
      </c>
      <c r="B213" s="81">
        <v>0</v>
      </c>
      <c r="C213" s="67"/>
      <c r="D213" s="67"/>
    </row>
    <row r="214" spans="1:12" ht="24.6">
      <c r="A214" s="99" t="s">
        <v>220</v>
      </c>
      <c r="B214" s="81">
        <v>0</v>
      </c>
      <c r="C214" s="67"/>
      <c r="D214" s="67"/>
    </row>
    <row r="215" spans="1:12" ht="24" customHeight="1">
      <c r="A215" s="99" t="s">
        <v>221</v>
      </c>
      <c r="B215" s="81">
        <v>0</v>
      </c>
      <c r="C215" s="67"/>
      <c r="D215" s="67"/>
    </row>
    <row r="216" spans="1:12">
      <c r="A216" s="99" t="s">
        <v>222</v>
      </c>
      <c r="B216" s="81">
        <v>0</v>
      </c>
      <c r="C216" s="67"/>
      <c r="D216" s="67"/>
    </row>
    <row r="217" spans="1:12">
      <c r="A217" s="99"/>
      <c r="B217" s="81"/>
      <c r="C217" s="67"/>
      <c r="D217" s="67"/>
    </row>
    <row r="218" spans="1:12">
      <c r="A218" s="4" t="s">
        <v>223</v>
      </c>
      <c r="B218" s="121"/>
      <c r="C218" s="417">
        <v>2025</v>
      </c>
      <c r="D218" s="417"/>
      <c r="E218" s="442"/>
      <c r="F218" s="441"/>
      <c r="G218" s="441"/>
      <c r="H218" s="441"/>
      <c r="I218" s="441"/>
      <c r="J218" s="441"/>
      <c r="K218" s="441"/>
      <c r="L218" s="1"/>
    </row>
    <row r="219" spans="1:12">
      <c r="A219" s="123" t="s">
        <v>323</v>
      </c>
      <c r="B219" s="124" t="s">
        <v>226</v>
      </c>
      <c r="C219" s="124" t="s">
        <v>227</v>
      </c>
      <c r="D219" s="124" t="s">
        <v>228</v>
      </c>
      <c r="E219" s="125" t="s">
        <v>229</v>
      </c>
      <c r="F219" s="126" t="s">
        <v>228</v>
      </c>
      <c r="G219" s="127" t="s">
        <v>229</v>
      </c>
      <c r="H219" s="126" t="s">
        <v>226</v>
      </c>
      <c r="I219" s="126" t="s">
        <v>227</v>
      </c>
      <c r="J219" s="126" t="s">
        <v>228</v>
      </c>
      <c r="K219" s="127" t="s">
        <v>229</v>
      </c>
      <c r="L219" s="1"/>
    </row>
    <row r="220" spans="1:12">
      <c r="A220" s="128" t="s">
        <v>230</v>
      </c>
      <c r="B220" s="129">
        <v>0</v>
      </c>
      <c r="C220" s="129">
        <v>0</v>
      </c>
      <c r="D220" s="129">
        <v>0</v>
      </c>
      <c r="E220" s="130">
        <f>SUM(B220:D220)</f>
        <v>0</v>
      </c>
      <c r="F220" s="131"/>
      <c r="G220" s="131"/>
      <c r="H220" s="131"/>
      <c r="I220" s="131"/>
      <c r="J220" s="131"/>
      <c r="K220" s="131"/>
      <c r="L220" s="1"/>
    </row>
    <row r="221" spans="1:12">
      <c r="A221" s="99" t="s">
        <v>231</v>
      </c>
      <c r="B221" s="129">
        <v>0</v>
      </c>
      <c r="C221" s="129">
        <v>0</v>
      </c>
      <c r="D221" s="129">
        <v>0</v>
      </c>
      <c r="E221" s="130">
        <f>SUM(B221:D221)</f>
        <v>0</v>
      </c>
      <c r="F221" s="131"/>
      <c r="G221" s="131"/>
      <c r="H221" s="131"/>
      <c r="I221" s="131"/>
      <c r="J221" s="131"/>
      <c r="K221" s="131"/>
      <c r="L221" s="1"/>
    </row>
    <row r="222" spans="1:12">
      <c r="A222" s="65" t="s">
        <v>232</v>
      </c>
      <c r="B222" s="132">
        <f>SUM(B223:B226)</f>
        <v>0</v>
      </c>
      <c r="C222" s="132">
        <f>SUM(C223:C226)</f>
        <v>0</v>
      </c>
      <c r="D222" s="132">
        <f>SUM(D223:D226)</f>
        <v>0</v>
      </c>
      <c r="E222" s="133">
        <f>SUM(B222:D222)</f>
        <v>0</v>
      </c>
      <c r="F222" s="134"/>
      <c r="G222" s="134"/>
      <c r="H222" s="134"/>
      <c r="I222" s="134"/>
      <c r="J222" s="134"/>
      <c r="K222" s="134"/>
      <c r="L222" s="1"/>
    </row>
    <row r="223" spans="1:12">
      <c r="A223" s="99" t="s">
        <v>233</v>
      </c>
      <c r="B223" s="6">
        <v>0</v>
      </c>
      <c r="C223" s="6">
        <v>0</v>
      </c>
      <c r="D223" s="6">
        <v>0</v>
      </c>
      <c r="E223" s="135">
        <f t="shared" ref="E223:E231" si="0">SUM(B223:D223)</f>
        <v>0</v>
      </c>
      <c r="F223" s="136"/>
      <c r="G223" s="136"/>
      <c r="H223" s="136"/>
      <c r="I223" s="136"/>
      <c r="J223" s="136"/>
      <c r="K223" s="136"/>
      <c r="L223" s="1"/>
    </row>
    <row r="224" spans="1:12">
      <c r="A224" s="99" t="s">
        <v>234</v>
      </c>
      <c r="B224" s="6">
        <v>0</v>
      </c>
      <c r="C224" s="6">
        <v>0</v>
      </c>
      <c r="D224" s="6">
        <v>0</v>
      </c>
      <c r="E224" s="135">
        <f t="shared" si="0"/>
        <v>0</v>
      </c>
      <c r="F224" s="136"/>
      <c r="G224" s="136"/>
      <c r="H224" s="136"/>
      <c r="I224" s="136"/>
      <c r="J224" s="136"/>
      <c r="K224" s="136"/>
      <c r="L224" s="1"/>
    </row>
    <row r="225" spans="1:12" ht="15" customHeight="1">
      <c r="A225" s="59" t="s">
        <v>235</v>
      </c>
      <c r="B225" s="6">
        <v>0</v>
      </c>
      <c r="C225" s="6">
        <v>0</v>
      </c>
      <c r="D225" s="6">
        <v>0</v>
      </c>
      <c r="E225" s="135">
        <f t="shared" si="0"/>
        <v>0</v>
      </c>
      <c r="F225" s="136"/>
      <c r="G225" s="136"/>
      <c r="H225" s="136"/>
      <c r="I225" s="136"/>
      <c r="J225" s="136"/>
      <c r="K225" s="136"/>
      <c r="L225" s="1"/>
    </row>
    <row r="226" spans="1:12">
      <c r="A226" s="99" t="s">
        <v>236</v>
      </c>
      <c r="B226" s="6">
        <v>0</v>
      </c>
      <c r="C226" s="6">
        <v>0</v>
      </c>
      <c r="D226" s="6">
        <v>0</v>
      </c>
      <c r="E226" s="135">
        <f t="shared" si="0"/>
        <v>0</v>
      </c>
      <c r="F226" s="136"/>
      <c r="G226" s="136"/>
      <c r="H226" s="136"/>
      <c r="I226" s="136"/>
      <c r="J226" s="136"/>
      <c r="K226" s="136"/>
      <c r="L226" s="1"/>
    </row>
    <row r="227" spans="1:12">
      <c r="A227" s="65" t="s">
        <v>237</v>
      </c>
      <c r="B227" s="132">
        <f>SUM(B228:B232)</f>
        <v>0</v>
      </c>
      <c r="C227" s="132">
        <f>SUM(C228:C232)</f>
        <v>0</v>
      </c>
      <c r="D227" s="132">
        <f>SUM(D228:D232)</f>
        <v>0</v>
      </c>
      <c r="E227" s="133">
        <f>SUM(B227:D227)</f>
        <v>0</v>
      </c>
      <c r="F227" s="134"/>
      <c r="G227" s="136"/>
      <c r="H227" s="134"/>
      <c r="I227" s="134"/>
      <c r="J227" s="134"/>
      <c r="K227" s="136"/>
      <c r="L227" s="1"/>
    </row>
    <row r="228" spans="1:12">
      <c r="A228" s="99" t="s">
        <v>238</v>
      </c>
      <c r="B228" s="6">
        <v>0</v>
      </c>
      <c r="C228" s="6">
        <v>0</v>
      </c>
      <c r="D228" s="6">
        <v>0</v>
      </c>
      <c r="E228" s="135">
        <f t="shared" si="0"/>
        <v>0</v>
      </c>
      <c r="F228" s="136"/>
      <c r="G228" s="136"/>
      <c r="H228" s="136"/>
      <c r="I228" s="136"/>
      <c r="J228" s="136"/>
      <c r="K228" s="136"/>
      <c r="L228" s="1"/>
    </row>
    <row r="229" spans="1:12">
      <c r="A229" s="99" t="s">
        <v>239</v>
      </c>
      <c r="B229" s="6">
        <v>0</v>
      </c>
      <c r="C229" s="6">
        <v>0</v>
      </c>
      <c r="D229" s="6">
        <v>0</v>
      </c>
      <c r="E229" s="135">
        <f t="shared" si="0"/>
        <v>0</v>
      </c>
      <c r="F229" s="136"/>
      <c r="G229" s="136"/>
      <c r="H229" s="136"/>
      <c r="I229" s="136"/>
      <c r="J229" s="136"/>
      <c r="K229" s="136"/>
      <c r="L229" s="1"/>
    </row>
    <row r="230" spans="1:12">
      <c r="A230" s="59" t="s">
        <v>240</v>
      </c>
      <c r="B230" s="6">
        <v>0</v>
      </c>
      <c r="C230" s="6">
        <v>0</v>
      </c>
      <c r="D230" s="6">
        <v>0</v>
      </c>
      <c r="E230" s="135">
        <f t="shared" si="0"/>
        <v>0</v>
      </c>
      <c r="F230" s="136"/>
      <c r="G230" s="136"/>
      <c r="H230" s="136"/>
      <c r="I230" s="136"/>
      <c r="J230" s="136"/>
      <c r="K230" s="136"/>
      <c r="L230" s="1"/>
    </row>
    <row r="231" spans="1:12">
      <c r="A231" s="99" t="s">
        <v>241</v>
      </c>
      <c r="B231" s="6">
        <v>0</v>
      </c>
      <c r="C231" s="6">
        <v>0</v>
      </c>
      <c r="D231" s="6">
        <v>0</v>
      </c>
      <c r="E231" s="135">
        <f t="shared" si="0"/>
        <v>0</v>
      </c>
      <c r="F231" s="136"/>
      <c r="G231" s="136"/>
      <c r="H231" s="136"/>
      <c r="I231" s="136"/>
      <c r="J231" s="136"/>
      <c r="K231" s="136"/>
      <c r="L231" s="1"/>
    </row>
    <row r="232" spans="1:12">
      <c r="A232" s="99" t="s">
        <v>236</v>
      </c>
      <c r="B232" s="6">
        <v>0</v>
      </c>
      <c r="C232" s="6">
        <v>0</v>
      </c>
      <c r="D232" s="6">
        <v>0</v>
      </c>
      <c r="E232" s="135">
        <f>SUM(B232:D232)</f>
        <v>0</v>
      </c>
      <c r="F232" s="136"/>
      <c r="G232" s="136"/>
      <c r="H232" s="136"/>
      <c r="I232" s="136"/>
      <c r="J232" s="136"/>
      <c r="K232" s="136"/>
      <c r="L232" s="1"/>
    </row>
    <row r="233" spans="1:12">
      <c r="A233" s="65" t="s">
        <v>242</v>
      </c>
      <c r="B233" s="72"/>
      <c r="C233" s="72"/>
      <c r="D233" s="72"/>
      <c r="E233" s="133">
        <f>E227+E222</f>
        <v>0</v>
      </c>
      <c r="F233" s="134"/>
      <c r="G233" s="134"/>
      <c r="H233" s="134"/>
      <c r="I233" s="134"/>
      <c r="J233" s="134"/>
      <c r="K233" s="134"/>
      <c r="L233" s="1"/>
    </row>
    <row r="234" spans="1:12">
      <c r="A234" s="137" t="s">
        <v>336</v>
      </c>
      <c r="B234" s="138"/>
      <c r="C234" s="138"/>
      <c r="D234" s="138"/>
      <c r="E234" s="139"/>
      <c r="F234" s="1"/>
      <c r="G234" s="1"/>
      <c r="H234" s="1"/>
      <c r="I234" s="1"/>
      <c r="J234" s="1"/>
      <c r="K234" s="1"/>
      <c r="L234" s="1"/>
    </row>
    <row r="236" spans="1:12" ht="24">
      <c r="A236" s="4" t="s">
        <v>244</v>
      </c>
      <c r="B236" s="122"/>
      <c r="C236" s="122" t="s">
        <v>245</v>
      </c>
      <c r="D236" s="122" t="s">
        <v>246</v>
      </c>
      <c r="E236" s="122"/>
      <c r="F236" s="122"/>
    </row>
    <row r="237" spans="1:12" ht="24.6" customHeight="1">
      <c r="A237" s="422" t="s">
        <v>309</v>
      </c>
      <c r="B237" s="422"/>
      <c r="C237" s="124"/>
      <c r="D237" s="124"/>
      <c r="E237" s="124"/>
      <c r="F237" s="124"/>
    </row>
    <row r="238" spans="1:12">
      <c r="A238" s="92" t="s">
        <v>252</v>
      </c>
      <c r="B238" s="102"/>
      <c r="C238" s="140" t="s">
        <v>329</v>
      </c>
      <c r="D238" s="102" t="s">
        <v>329</v>
      </c>
      <c r="E238" s="140"/>
      <c r="F238" s="140"/>
    </row>
    <row r="239" spans="1:12">
      <c r="A239" s="59" t="s">
        <v>253</v>
      </c>
      <c r="B239" s="108"/>
      <c r="C239" s="140" t="s">
        <v>329</v>
      </c>
      <c r="D239" s="102" t="s">
        <v>329</v>
      </c>
      <c r="E239" s="141"/>
      <c r="F239" s="141"/>
    </row>
    <row r="240" spans="1:12">
      <c r="A240" s="99" t="s">
        <v>254</v>
      </c>
      <c r="B240" s="72"/>
      <c r="C240" s="140" t="s">
        <v>329</v>
      </c>
      <c r="D240" s="102" t="s">
        <v>329</v>
      </c>
      <c r="E240" s="142"/>
      <c r="F240" s="142"/>
    </row>
    <row r="241" spans="1:6">
      <c r="A241" s="99" t="s">
        <v>255</v>
      </c>
      <c r="B241" s="72"/>
      <c r="C241" s="140" t="s">
        <v>329</v>
      </c>
      <c r="D241" s="102" t="s">
        <v>329</v>
      </c>
      <c r="E241" s="142"/>
      <c r="F241" s="142"/>
    </row>
    <row r="242" spans="1:6">
      <c r="A242" s="59" t="s">
        <v>256</v>
      </c>
      <c r="B242" s="108"/>
      <c r="C242" s="140" t="s">
        <v>329</v>
      </c>
      <c r="D242" s="102" t="s">
        <v>329</v>
      </c>
      <c r="E242" s="141"/>
      <c r="F242" s="141"/>
    </row>
    <row r="243" spans="1:6">
      <c r="A243" s="99" t="s">
        <v>257</v>
      </c>
      <c r="B243" s="72"/>
      <c r="C243" s="140" t="s">
        <v>329</v>
      </c>
      <c r="D243" s="102" t="s">
        <v>329</v>
      </c>
      <c r="E243" s="142"/>
      <c r="F243" s="142"/>
    </row>
    <row r="244" spans="1:6">
      <c r="A244" s="99" t="s">
        <v>258</v>
      </c>
      <c r="B244" s="72"/>
      <c r="C244" s="140" t="s">
        <v>329</v>
      </c>
      <c r="D244" s="102" t="s">
        <v>329</v>
      </c>
      <c r="E244" s="142"/>
      <c r="F244" s="142"/>
    </row>
    <row r="245" spans="1:6">
      <c r="A245" s="99" t="s">
        <v>259</v>
      </c>
      <c r="B245" s="72"/>
      <c r="C245" s="140" t="s">
        <v>329</v>
      </c>
      <c r="D245" s="102" t="s">
        <v>329</v>
      </c>
      <c r="E245" s="142"/>
      <c r="F245" s="142"/>
    </row>
    <row r="246" spans="1:6">
      <c r="A246" s="99" t="s">
        <v>260</v>
      </c>
      <c r="B246" s="72"/>
      <c r="C246" s="140" t="s">
        <v>329</v>
      </c>
      <c r="D246" s="102" t="s">
        <v>329</v>
      </c>
      <c r="E246" s="142"/>
      <c r="F246" s="142"/>
    </row>
    <row r="247" spans="1:6">
      <c r="A247" s="59" t="s">
        <v>261</v>
      </c>
      <c r="B247" s="108"/>
      <c r="C247" s="140" t="s">
        <v>329</v>
      </c>
      <c r="D247" s="102" t="s">
        <v>329</v>
      </c>
      <c r="E247" s="141"/>
      <c r="F247" s="141"/>
    </row>
    <row r="248" spans="1:6">
      <c r="A248" s="99" t="s">
        <v>262</v>
      </c>
      <c r="B248" s="72"/>
      <c r="C248" s="140" t="s">
        <v>329</v>
      </c>
      <c r="D248" s="102" t="s">
        <v>329</v>
      </c>
      <c r="E248" s="142"/>
      <c r="F248" s="142"/>
    </row>
    <row r="249" spans="1:6">
      <c r="A249" s="92" t="s">
        <v>263</v>
      </c>
      <c r="B249" s="102"/>
      <c r="C249" s="140" t="s">
        <v>329</v>
      </c>
      <c r="D249" s="102" t="s">
        <v>329</v>
      </c>
      <c r="E249" s="140"/>
      <c r="F249" s="140"/>
    </row>
    <row r="250" spans="1:6">
      <c r="A250" s="65" t="s">
        <v>229</v>
      </c>
      <c r="B250" s="143"/>
      <c r="C250" s="144"/>
      <c r="D250" s="143"/>
      <c r="E250" s="144"/>
      <c r="F250" s="144"/>
    </row>
    <row r="251" spans="1:6">
      <c r="A251" s="438" t="s">
        <v>337</v>
      </c>
      <c r="B251" s="438"/>
      <c r="C251" s="438"/>
      <c r="D251" s="438"/>
      <c r="E251" s="438"/>
      <c r="F251" s="145"/>
    </row>
  </sheetData>
  <sheetProtection algorithmName="SHA-512" hashValue="H/3KSoa9l36UCCE2sLN43kg+5lyTPp/wMzQglRT0vwZzjgRIjUZ9pdttfUD88JaP7xiZRJuqLsL8y/PhG3KHww==" saltValue="5As6FbzwBB2WjArx8+TzyA==" spinCount="100000" sheet="1" objects="1" scenarios="1"/>
  <mergeCells count="18">
    <mergeCell ref="H218:K218"/>
    <mergeCell ref="A149:D149"/>
    <mergeCell ref="A199:D199"/>
    <mergeCell ref="A251:E251"/>
    <mergeCell ref="A152:D152"/>
    <mergeCell ref="A163:D163"/>
    <mergeCell ref="A169:D169"/>
    <mergeCell ref="A193:D193"/>
    <mergeCell ref="F218:G218"/>
    <mergeCell ref="C218:E218"/>
    <mergeCell ref="A173:D173"/>
    <mergeCell ref="A237:B237"/>
    <mergeCell ref="A10:D10"/>
    <mergeCell ref="F2:H2"/>
    <mergeCell ref="R2:T2"/>
    <mergeCell ref="A6:D6"/>
    <mergeCell ref="A7:D7"/>
    <mergeCell ref="A8:D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rowBreaks count="1" manualBreakCount="1">
    <brk id="173" max="21" man="1"/>
  </rowBreaks>
  <colBreaks count="1" manualBreakCount="1">
    <brk id="4" max="216" man="1"/>
  </colBreaks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48e373-0438-46e2-a27e-39069ecf3149" xsi:nil="true"/>
    <lcf76f155ced4ddcb4097134ff3c332f xmlns="d677d6ed-6a51-475e-8ff8-8ba1a07263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9DBB0F0378A4BA0EE573F3826C9F3" ma:contentTypeVersion="10" ma:contentTypeDescription="Crie um novo documento." ma:contentTypeScope="" ma:versionID="4f264464beb0534a11aee450789e0513">
  <xsd:schema xmlns:xsd="http://www.w3.org/2001/XMLSchema" xmlns:xs="http://www.w3.org/2001/XMLSchema" xmlns:p="http://schemas.microsoft.com/office/2006/metadata/properties" xmlns:ns2="d677d6ed-6a51-475e-8ff8-8ba1a072631b" xmlns:ns3="8248e373-0438-46e2-a27e-39069ecf3149" targetNamespace="http://schemas.microsoft.com/office/2006/metadata/properties" ma:root="true" ma:fieldsID="d7184b3ff80cdd83492ec0f8d9e4de09" ns2:_="" ns3:_="">
    <xsd:import namespace="d677d6ed-6a51-475e-8ff8-8ba1a072631b"/>
    <xsd:import namespace="8248e373-0438-46e2-a27e-39069ecf3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7d6ed-6a51-475e-8ff8-8ba1a0726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6dca550-4456-4e9c-8026-cc2d2adf1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8e373-0438-46e2-a27e-39069ecf31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b607b4-9e25-4f2e-a023-5201ffe0ecd4}" ma:internalName="TaxCatchAll" ma:showField="CatchAllData" ma:web="7245ff9c-8326-4b12-b88e-f016690b2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607232-573D-42DA-8591-B87BD1C60F0B}"/>
</file>

<file path=customXml/itemProps2.xml><?xml version="1.0" encoding="utf-8"?>
<ds:datastoreItem xmlns:ds="http://schemas.openxmlformats.org/officeDocument/2006/customXml" ds:itemID="{ED84216B-CC21-4441-8419-5F36564C37A3}"/>
</file>

<file path=customXml/itemProps3.xml><?xml version="1.0" encoding="utf-8"?>
<ds:datastoreItem xmlns:ds="http://schemas.openxmlformats.org/officeDocument/2006/customXml" ds:itemID="{B61BFBD2-B270-496A-B456-5F27C1BEE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Hilario de Lazzari</dc:creator>
  <cp:keywords/>
  <dc:description/>
  <cp:lastModifiedBy/>
  <cp:revision/>
  <dcterms:created xsi:type="dcterms:W3CDTF">2025-02-15T18:42:58Z</dcterms:created>
  <dcterms:modified xsi:type="dcterms:W3CDTF">2026-05-27T17:37:09Z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0x0101006789DBB0F0378A4BA0EE573F3826C9F3</vt:lpwstr>
  </property>
  <property fmtid="{D5CDD505-2E9C-101B-9397-08002B2CF9AE}" pid="3" name="MediaServiceImageTags">
    <vt:lpwstr/>
  </property>
  <property fmtid="{D5CDD505-2E9C-101B-9397-08002B2CF9AE}" pid="4" name="Empresa_x0020_ou_x0020_Unidade">
    <vt:lpwstr/>
  </property>
  <property fmtid="{D5CDD505-2E9C-101B-9397-08002B2CF9AE}" pid="5" name="lcf76f155ced4ddcb4097134ff3c332f">
    <vt:lpwstr/>
  </property>
  <property fmtid="{D5CDD505-2E9C-101B-9397-08002B2CF9AE}" pid="6" name="Empresa ou Unidade">
    <vt:lpwstr/>
  </property>
  <property fmtid="{D5CDD505-2E9C-101B-9397-08002B2CF9AE}" pid="7" name="Data Referência">
    <vt:filetime>2025-04-30T17:11:32Z</vt:filetime>
  </property>
</Properties>
</file>